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FMA\Finances\FY26\Finance Reports\Budget vs Actual\"/>
    </mc:Choice>
  </mc:AlternateContent>
  <xr:revisionPtr revIDLastSave="0" documentId="13_ncr:1_{82DEA1DA-41AD-4BCA-ADD6-4843BAEFBC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33" i="1" l="1"/>
  <c r="AI133" i="1"/>
  <c r="AF133" i="1"/>
  <c r="AC133" i="1"/>
  <c r="Z133" i="1"/>
  <c r="W133" i="1"/>
  <c r="T133" i="1"/>
  <c r="R133" i="1"/>
  <c r="S133" i="1" s="1"/>
  <c r="Q133" i="1"/>
  <c r="N133" i="1"/>
  <c r="K133" i="1"/>
  <c r="H133" i="1"/>
  <c r="E133" i="1"/>
  <c r="B133" i="1"/>
  <c r="AL132" i="1"/>
  <c r="AK132" i="1"/>
  <c r="AJ132" i="1"/>
  <c r="AG132" i="1"/>
  <c r="AH132" i="1" s="1"/>
  <c r="AE132" i="1"/>
  <c r="AD132" i="1"/>
  <c r="AB132" i="1"/>
  <c r="AA132" i="1"/>
  <c r="X132" i="1"/>
  <c r="Y132" i="1" s="1"/>
  <c r="V132" i="1"/>
  <c r="U132" i="1"/>
  <c r="R132" i="1"/>
  <c r="S132" i="1" s="1"/>
  <c r="O132" i="1"/>
  <c r="P132" i="1" s="1"/>
  <c r="M132" i="1"/>
  <c r="L132" i="1"/>
  <c r="I132" i="1"/>
  <c r="J132" i="1" s="1"/>
  <c r="G132" i="1"/>
  <c r="F132" i="1"/>
  <c r="C132" i="1"/>
  <c r="AL131" i="1"/>
  <c r="AK131" i="1"/>
  <c r="AJ131" i="1"/>
  <c r="AG131" i="1"/>
  <c r="AH131" i="1" s="1"/>
  <c r="AD131" i="1"/>
  <c r="AE131" i="1" s="1"/>
  <c r="AB131" i="1"/>
  <c r="AA131" i="1"/>
  <c r="Y131" i="1"/>
  <c r="X131" i="1"/>
  <c r="V131" i="1"/>
  <c r="U131" i="1"/>
  <c r="S131" i="1"/>
  <c r="R131" i="1"/>
  <c r="O131" i="1"/>
  <c r="P131" i="1" s="1"/>
  <c r="L131" i="1"/>
  <c r="M131" i="1" s="1"/>
  <c r="J131" i="1"/>
  <c r="I131" i="1"/>
  <c r="G131" i="1"/>
  <c r="F131" i="1"/>
  <c r="C131" i="1"/>
  <c r="D131" i="1" s="1"/>
  <c r="AL130" i="1"/>
  <c r="AK130" i="1"/>
  <c r="AJ130" i="1"/>
  <c r="AH130" i="1"/>
  <c r="AG130" i="1"/>
  <c r="AD130" i="1"/>
  <c r="AE130" i="1" s="1"/>
  <c r="AB130" i="1"/>
  <c r="AA130" i="1"/>
  <c r="X130" i="1"/>
  <c r="Y130" i="1" s="1"/>
  <c r="V130" i="1"/>
  <c r="U130" i="1"/>
  <c r="S130" i="1"/>
  <c r="R130" i="1"/>
  <c r="O130" i="1"/>
  <c r="P130" i="1" s="1"/>
  <c r="M130" i="1"/>
  <c r="L130" i="1"/>
  <c r="I130" i="1"/>
  <c r="F130" i="1"/>
  <c r="D130" i="1"/>
  <c r="C130" i="1"/>
  <c r="AL129" i="1"/>
  <c r="AJ129" i="1"/>
  <c r="AK129" i="1" s="1"/>
  <c r="AG129" i="1"/>
  <c r="AH129" i="1" s="1"/>
  <c r="AE129" i="1"/>
  <c r="AD129" i="1"/>
  <c r="AB129" i="1"/>
  <c r="AA129" i="1"/>
  <c r="X129" i="1"/>
  <c r="Y129" i="1" s="1"/>
  <c r="U129" i="1"/>
  <c r="V129" i="1" s="1"/>
  <c r="S129" i="1"/>
  <c r="R129" i="1"/>
  <c r="P129" i="1"/>
  <c r="O129" i="1"/>
  <c r="M129" i="1"/>
  <c r="L129" i="1"/>
  <c r="J129" i="1"/>
  <c r="I129" i="1"/>
  <c r="F129" i="1"/>
  <c r="G129" i="1" s="1"/>
  <c r="C129" i="1"/>
  <c r="AL128" i="1"/>
  <c r="AJ128" i="1"/>
  <c r="AK128" i="1" s="1"/>
  <c r="AH128" i="1"/>
  <c r="AG128" i="1"/>
  <c r="AD128" i="1"/>
  <c r="AE128" i="1" s="1"/>
  <c r="AA128" i="1"/>
  <c r="AB128" i="1" s="1"/>
  <c r="Y128" i="1"/>
  <c r="X128" i="1"/>
  <c r="U128" i="1"/>
  <c r="V128" i="1" s="1"/>
  <c r="S128" i="1"/>
  <c r="R128" i="1"/>
  <c r="O128" i="1"/>
  <c r="P128" i="1" s="1"/>
  <c r="L128" i="1"/>
  <c r="M128" i="1" s="1"/>
  <c r="J128" i="1"/>
  <c r="I128" i="1"/>
  <c r="F128" i="1"/>
  <c r="D128" i="1"/>
  <c r="C128" i="1"/>
  <c r="AM127" i="1"/>
  <c r="AN127" i="1" s="1"/>
  <c r="AL127" i="1"/>
  <c r="AK127" i="1"/>
  <c r="AJ127" i="1"/>
  <c r="AH127" i="1"/>
  <c r="AG127" i="1"/>
  <c r="AE127" i="1"/>
  <c r="AD127" i="1"/>
  <c r="AA127" i="1"/>
  <c r="AB127" i="1" s="1"/>
  <c r="X127" i="1"/>
  <c r="Y127" i="1" s="1"/>
  <c r="V127" i="1"/>
  <c r="U127" i="1"/>
  <c r="S127" i="1"/>
  <c r="R127" i="1"/>
  <c r="O127" i="1"/>
  <c r="P127" i="1" s="1"/>
  <c r="L127" i="1"/>
  <c r="M127" i="1" s="1"/>
  <c r="J127" i="1"/>
  <c r="I127" i="1"/>
  <c r="G127" i="1"/>
  <c r="F127" i="1"/>
  <c r="D127" i="1"/>
  <c r="C127" i="1"/>
  <c r="AL126" i="1"/>
  <c r="AJ126" i="1"/>
  <c r="AK126" i="1" s="1"/>
  <c r="AH126" i="1"/>
  <c r="AG126" i="1"/>
  <c r="AE126" i="1"/>
  <c r="AD126" i="1"/>
  <c r="AA126" i="1"/>
  <c r="AB126" i="1" s="1"/>
  <c r="Y126" i="1"/>
  <c r="X126" i="1"/>
  <c r="U126" i="1"/>
  <c r="V126" i="1" s="1"/>
  <c r="S126" i="1"/>
  <c r="R126" i="1"/>
  <c r="P126" i="1"/>
  <c r="O126" i="1"/>
  <c r="L126" i="1"/>
  <c r="M126" i="1" s="1"/>
  <c r="J126" i="1"/>
  <c r="I126" i="1"/>
  <c r="F126" i="1"/>
  <c r="G126" i="1" s="1"/>
  <c r="D126" i="1"/>
  <c r="C126" i="1"/>
  <c r="AM126" i="1" s="1"/>
  <c r="AN126" i="1" s="1"/>
  <c r="AL125" i="1"/>
  <c r="AJ125" i="1"/>
  <c r="AG125" i="1"/>
  <c r="AH125" i="1" s="1"/>
  <c r="AD125" i="1"/>
  <c r="AB125" i="1"/>
  <c r="AA125" i="1"/>
  <c r="AA133" i="1" s="1"/>
  <c r="AB133" i="1" s="1"/>
  <c r="Y125" i="1"/>
  <c r="X125" i="1"/>
  <c r="V125" i="1"/>
  <c r="U125" i="1"/>
  <c r="R125" i="1"/>
  <c r="S125" i="1" s="1"/>
  <c r="O125" i="1"/>
  <c r="M125" i="1"/>
  <c r="L125" i="1"/>
  <c r="J125" i="1"/>
  <c r="I125" i="1"/>
  <c r="F125" i="1"/>
  <c r="C125" i="1"/>
  <c r="D125" i="1" s="1"/>
  <c r="AN124" i="1"/>
  <c r="AM124" i="1"/>
  <c r="AL124" i="1"/>
  <c r="AK124" i="1"/>
  <c r="AH124" i="1"/>
  <c r="AE124" i="1"/>
  <c r="AB124" i="1"/>
  <c r="Y124" i="1"/>
  <c r="V124" i="1"/>
  <c r="S124" i="1"/>
  <c r="P124" i="1"/>
  <c r="M124" i="1"/>
  <c r="J124" i="1"/>
  <c r="G124" i="1"/>
  <c r="D124" i="1"/>
  <c r="AM123" i="1"/>
  <c r="AN123" i="1" s="1"/>
  <c r="AL123" i="1"/>
  <c r="AK123" i="1"/>
  <c r="AJ123" i="1"/>
  <c r="AH123" i="1"/>
  <c r="AG123" i="1"/>
  <c r="AE123" i="1"/>
  <c r="AD123" i="1"/>
  <c r="AA123" i="1"/>
  <c r="AB123" i="1" s="1"/>
  <c r="Y123" i="1"/>
  <c r="X123" i="1"/>
  <c r="V123" i="1"/>
  <c r="U123" i="1"/>
  <c r="S123" i="1"/>
  <c r="R123" i="1"/>
  <c r="P123" i="1"/>
  <c r="O123" i="1"/>
  <c r="L123" i="1"/>
  <c r="M123" i="1" s="1"/>
  <c r="J123" i="1"/>
  <c r="I123" i="1"/>
  <c r="G123" i="1"/>
  <c r="F123" i="1"/>
  <c r="D123" i="1"/>
  <c r="C123" i="1"/>
  <c r="AL122" i="1"/>
  <c r="AJ122" i="1"/>
  <c r="AK122" i="1" s="1"/>
  <c r="AH122" i="1"/>
  <c r="AG122" i="1"/>
  <c r="AD122" i="1"/>
  <c r="AE122" i="1" s="1"/>
  <c r="AA122" i="1"/>
  <c r="AB122" i="1" s="1"/>
  <c r="X122" i="1"/>
  <c r="Y122" i="1" s="1"/>
  <c r="V122" i="1"/>
  <c r="U122" i="1"/>
  <c r="R122" i="1"/>
  <c r="S122" i="1" s="1"/>
  <c r="O122" i="1"/>
  <c r="P122" i="1" s="1"/>
  <c r="L122" i="1"/>
  <c r="M122" i="1" s="1"/>
  <c r="I122" i="1"/>
  <c r="H122" i="1"/>
  <c r="F122" i="1"/>
  <c r="D122" i="1"/>
  <c r="C122" i="1"/>
  <c r="AM121" i="1"/>
  <c r="AJ121" i="1"/>
  <c r="AK121" i="1" s="1"/>
  <c r="AG121" i="1"/>
  <c r="AH121" i="1" s="1"/>
  <c r="AD121" i="1"/>
  <c r="AE121" i="1" s="1"/>
  <c r="AA121" i="1"/>
  <c r="AB121" i="1" s="1"/>
  <c r="X121" i="1"/>
  <c r="Y121" i="1" s="1"/>
  <c r="U121" i="1"/>
  <c r="V121" i="1" s="1"/>
  <c r="R121" i="1"/>
  <c r="S121" i="1" s="1"/>
  <c r="O121" i="1"/>
  <c r="P121" i="1" s="1"/>
  <c r="L121" i="1"/>
  <c r="K121" i="1"/>
  <c r="J121" i="1"/>
  <c r="I121" i="1"/>
  <c r="H121" i="1"/>
  <c r="G121" i="1"/>
  <c r="F121" i="1"/>
  <c r="E121" i="1"/>
  <c r="C121" i="1"/>
  <c r="B121" i="1"/>
  <c r="AM120" i="1"/>
  <c r="AN120" i="1" s="1"/>
  <c r="AL120" i="1"/>
  <c r="AJ120" i="1"/>
  <c r="AK120" i="1" s="1"/>
  <c r="AG120" i="1"/>
  <c r="AH120" i="1" s="1"/>
  <c r="AE120" i="1"/>
  <c r="AD120" i="1"/>
  <c r="AA120" i="1"/>
  <c r="AB120" i="1" s="1"/>
  <c r="Y120" i="1"/>
  <c r="X120" i="1"/>
  <c r="U120" i="1"/>
  <c r="V120" i="1" s="1"/>
  <c r="R120" i="1"/>
  <c r="S120" i="1" s="1"/>
  <c r="P120" i="1"/>
  <c r="O120" i="1"/>
  <c r="L120" i="1"/>
  <c r="M120" i="1" s="1"/>
  <c r="J120" i="1"/>
  <c r="I120" i="1"/>
  <c r="F120" i="1"/>
  <c r="G120" i="1" s="1"/>
  <c r="C120" i="1"/>
  <c r="D120" i="1" s="1"/>
  <c r="AJ119" i="1"/>
  <c r="AK119" i="1" s="1"/>
  <c r="AI119" i="1"/>
  <c r="AF119" i="1"/>
  <c r="AC119" i="1"/>
  <c r="AB119" i="1"/>
  <c r="Z119" i="1"/>
  <c r="X119" i="1"/>
  <c r="Y119" i="1" s="1"/>
  <c r="W119" i="1"/>
  <c r="T119" i="1"/>
  <c r="Q119" i="1"/>
  <c r="N119" i="1"/>
  <c r="L119" i="1"/>
  <c r="M119" i="1" s="1"/>
  <c r="K119" i="1"/>
  <c r="H119" i="1"/>
  <c r="J119" i="1" s="1"/>
  <c r="F119" i="1"/>
  <c r="G119" i="1" s="1"/>
  <c r="E119" i="1"/>
  <c r="B119" i="1"/>
  <c r="AN118" i="1"/>
  <c r="AL118" i="1"/>
  <c r="AK118" i="1"/>
  <c r="AJ118" i="1"/>
  <c r="AH118" i="1"/>
  <c r="AG118" i="1"/>
  <c r="AE118" i="1"/>
  <c r="AD118" i="1"/>
  <c r="AD119" i="1" s="1"/>
  <c r="AE119" i="1" s="1"/>
  <c r="AA118" i="1"/>
  <c r="AA119" i="1" s="1"/>
  <c r="Y118" i="1"/>
  <c r="X118" i="1"/>
  <c r="V118" i="1"/>
  <c r="U118" i="1"/>
  <c r="S118" i="1"/>
  <c r="R118" i="1"/>
  <c r="P118" i="1"/>
  <c r="O118" i="1"/>
  <c r="L118" i="1"/>
  <c r="AM118" i="1" s="1"/>
  <c r="J118" i="1"/>
  <c r="I118" i="1"/>
  <c r="G118" i="1"/>
  <c r="F118" i="1"/>
  <c r="D118" i="1"/>
  <c r="C118" i="1"/>
  <c r="AL117" i="1"/>
  <c r="AK117" i="1"/>
  <c r="AJ117" i="1"/>
  <c r="AG117" i="1"/>
  <c r="AH117" i="1" s="1"/>
  <c r="AE117" i="1"/>
  <c r="AD117" i="1"/>
  <c r="AA117" i="1"/>
  <c r="AB117" i="1" s="1"/>
  <c r="X117" i="1"/>
  <c r="Y117" i="1" s="1"/>
  <c r="U117" i="1"/>
  <c r="V117" i="1" s="1"/>
  <c r="R117" i="1"/>
  <c r="O117" i="1"/>
  <c r="L117" i="1"/>
  <c r="M117" i="1" s="1"/>
  <c r="I117" i="1"/>
  <c r="I119" i="1" s="1"/>
  <c r="H117" i="1"/>
  <c r="G117" i="1"/>
  <c r="F117" i="1"/>
  <c r="D117" i="1"/>
  <c r="C117" i="1"/>
  <c r="AI116" i="1"/>
  <c r="AF116" i="1"/>
  <c r="AC116" i="1"/>
  <c r="Z116" i="1"/>
  <c r="W116" i="1"/>
  <c r="T116" i="1"/>
  <c r="Q116" i="1"/>
  <c r="H116" i="1"/>
  <c r="F116" i="1"/>
  <c r="G116" i="1" s="1"/>
  <c r="E116" i="1"/>
  <c r="B116" i="1"/>
  <c r="AL115" i="1"/>
  <c r="AJ115" i="1"/>
  <c r="AK115" i="1" s="1"/>
  <c r="AH115" i="1"/>
  <c r="AG115" i="1"/>
  <c r="AE115" i="1"/>
  <c r="AD115" i="1"/>
  <c r="AB115" i="1"/>
  <c r="AA115" i="1"/>
  <c r="Y115" i="1"/>
  <c r="X115" i="1"/>
  <c r="U115" i="1"/>
  <c r="V115" i="1" s="1"/>
  <c r="S115" i="1"/>
  <c r="R115" i="1"/>
  <c r="P115" i="1"/>
  <c r="O115" i="1"/>
  <c r="M115" i="1"/>
  <c r="L115" i="1"/>
  <c r="J115" i="1"/>
  <c r="I115" i="1"/>
  <c r="F115" i="1"/>
  <c r="G115" i="1" s="1"/>
  <c r="D115" i="1"/>
  <c r="C115" i="1"/>
  <c r="AL114" i="1"/>
  <c r="AK114" i="1"/>
  <c r="AJ114" i="1"/>
  <c r="AG114" i="1"/>
  <c r="AH114" i="1" s="1"/>
  <c r="AD114" i="1"/>
  <c r="AE114" i="1" s="1"/>
  <c r="AB114" i="1"/>
  <c r="AA114" i="1"/>
  <c r="X114" i="1"/>
  <c r="Y114" i="1" s="1"/>
  <c r="U114" i="1"/>
  <c r="V114" i="1" s="1"/>
  <c r="R114" i="1"/>
  <c r="S114" i="1" s="1"/>
  <c r="O114" i="1"/>
  <c r="P114" i="1" s="1"/>
  <c r="L114" i="1"/>
  <c r="M114" i="1" s="1"/>
  <c r="I114" i="1"/>
  <c r="J114" i="1" s="1"/>
  <c r="F114" i="1"/>
  <c r="G114" i="1" s="1"/>
  <c r="C114" i="1"/>
  <c r="AL113" i="1"/>
  <c r="AK113" i="1"/>
  <c r="AJ113" i="1"/>
  <c r="AG113" i="1"/>
  <c r="AH113" i="1" s="1"/>
  <c r="AE113" i="1"/>
  <c r="AD113" i="1"/>
  <c r="AA113" i="1"/>
  <c r="AB113" i="1" s="1"/>
  <c r="Y113" i="1"/>
  <c r="X113" i="1"/>
  <c r="V113" i="1"/>
  <c r="U113" i="1"/>
  <c r="R113" i="1"/>
  <c r="S113" i="1" s="1"/>
  <c r="P113" i="1"/>
  <c r="O113" i="1"/>
  <c r="L113" i="1"/>
  <c r="M113" i="1" s="1"/>
  <c r="J113" i="1"/>
  <c r="I113" i="1"/>
  <c r="G113" i="1"/>
  <c r="F113" i="1"/>
  <c r="D113" i="1"/>
  <c r="C113" i="1"/>
  <c r="AL112" i="1"/>
  <c r="AJ112" i="1"/>
  <c r="AK112" i="1" s="1"/>
  <c r="AH112" i="1"/>
  <c r="AG112" i="1"/>
  <c r="AD112" i="1"/>
  <c r="AE112" i="1" s="1"/>
  <c r="AA112" i="1"/>
  <c r="AB112" i="1" s="1"/>
  <c r="X112" i="1"/>
  <c r="Y112" i="1" s="1"/>
  <c r="V112" i="1"/>
  <c r="U112" i="1"/>
  <c r="R112" i="1"/>
  <c r="S112" i="1" s="1"/>
  <c r="O112" i="1"/>
  <c r="P112" i="1" s="1"/>
  <c r="L112" i="1"/>
  <c r="M112" i="1" s="1"/>
  <c r="I112" i="1"/>
  <c r="J112" i="1" s="1"/>
  <c r="G112" i="1"/>
  <c r="F112" i="1"/>
  <c r="C112" i="1"/>
  <c r="AL111" i="1"/>
  <c r="AK111" i="1"/>
  <c r="AJ111" i="1"/>
  <c r="AH111" i="1"/>
  <c r="AG111" i="1"/>
  <c r="AD111" i="1"/>
  <c r="AE111" i="1" s="1"/>
  <c r="AB111" i="1"/>
  <c r="AA111" i="1"/>
  <c r="X111" i="1"/>
  <c r="Y111" i="1" s="1"/>
  <c r="V111" i="1"/>
  <c r="U111" i="1"/>
  <c r="S111" i="1"/>
  <c r="R111" i="1"/>
  <c r="O111" i="1"/>
  <c r="P111" i="1" s="1"/>
  <c r="M111" i="1"/>
  <c r="L111" i="1"/>
  <c r="I111" i="1"/>
  <c r="G111" i="1"/>
  <c r="F111" i="1"/>
  <c r="D111" i="1"/>
  <c r="C111" i="1"/>
  <c r="AM110" i="1"/>
  <c r="AN110" i="1" s="1"/>
  <c r="AL110" i="1"/>
  <c r="AJ110" i="1"/>
  <c r="AK110" i="1" s="1"/>
  <c r="AG110" i="1"/>
  <c r="AH110" i="1" s="1"/>
  <c r="AD110" i="1"/>
  <c r="AE110" i="1" s="1"/>
  <c r="AA110" i="1"/>
  <c r="AB110" i="1" s="1"/>
  <c r="X110" i="1"/>
  <c r="Y110" i="1" s="1"/>
  <c r="U110" i="1"/>
  <c r="V110" i="1" s="1"/>
  <c r="R110" i="1"/>
  <c r="S110" i="1" s="1"/>
  <c r="O110" i="1"/>
  <c r="P110" i="1" s="1"/>
  <c r="M110" i="1"/>
  <c r="L110" i="1"/>
  <c r="I110" i="1"/>
  <c r="J110" i="1" s="1"/>
  <c r="F110" i="1"/>
  <c r="G110" i="1" s="1"/>
  <c r="C110" i="1"/>
  <c r="D110" i="1" s="1"/>
  <c r="AL109" i="1"/>
  <c r="AJ109" i="1"/>
  <c r="AK109" i="1" s="1"/>
  <c r="AH109" i="1"/>
  <c r="AG109" i="1"/>
  <c r="AE109" i="1"/>
  <c r="AD109" i="1"/>
  <c r="AB109" i="1"/>
  <c r="AA109" i="1"/>
  <c r="Y109" i="1"/>
  <c r="X109" i="1"/>
  <c r="U109" i="1"/>
  <c r="V109" i="1" s="1"/>
  <c r="S109" i="1"/>
  <c r="R109" i="1"/>
  <c r="P109" i="1"/>
  <c r="O109" i="1"/>
  <c r="M109" i="1"/>
  <c r="L109" i="1"/>
  <c r="I109" i="1"/>
  <c r="J109" i="1" s="1"/>
  <c r="F109" i="1"/>
  <c r="G109" i="1" s="1"/>
  <c r="D109" i="1"/>
  <c r="C109" i="1"/>
  <c r="AL108" i="1"/>
  <c r="AJ108" i="1"/>
  <c r="AK108" i="1" s="1"/>
  <c r="AG108" i="1"/>
  <c r="AH108" i="1" s="1"/>
  <c r="AD108" i="1"/>
  <c r="AE108" i="1" s="1"/>
  <c r="AA108" i="1"/>
  <c r="AB108" i="1" s="1"/>
  <c r="X108" i="1"/>
  <c r="Y108" i="1" s="1"/>
  <c r="U108" i="1"/>
  <c r="V108" i="1" s="1"/>
  <c r="R108" i="1"/>
  <c r="S108" i="1" s="1"/>
  <c r="O108" i="1"/>
  <c r="P108" i="1" s="1"/>
  <c r="L108" i="1"/>
  <c r="M108" i="1" s="1"/>
  <c r="J108" i="1"/>
  <c r="I108" i="1"/>
  <c r="F108" i="1"/>
  <c r="G108" i="1" s="1"/>
  <c r="D108" i="1"/>
  <c r="C108" i="1"/>
  <c r="AK107" i="1"/>
  <c r="AJ107" i="1"/>
  <c r="AG107" i="1"/>
  <c r="AH107" i="1" s="1"/>
  <c r="AE107" i="1"/>
  <c r="AD107" i="1"/>
  <c r="AB107" i="1"/>
  <c r="AA107" i="1"/>
  <c r="Y107" i="1"/>
  <c r="X107" i="1"/>
  <c r="U107" i="1"/>
  <c r="R107" i="1"/>
  <c r="S107" i="1" s="1"/>
  <c r="P107" i="1"/>
  <c r="O107" i="1"/>
  <c r="L107" i="1"/>
  <c r="K107" i="1"/>
  <c r="I107" i="1"/>
  <c r="J107" i="1" s="1"/>
  <c r="F107" i="1"/>
  <c r="G107" i="1" s="1"/>
  <c r="C107" i="1"/>
  <c r="D107" i="1" s="1"/>
  <c r="AK106" i="1"/>
  <c r="AJ106" i="1"/>
  <c r="AH106" i="1"/>
  <c r="AG106" i="1"/>
  <c r="AE106" i="1"/>
  <c r="AD106" i="1"/>
  <c r="AA106" i="1"/>
  <c r="X106" i="1"/>
  <c r="Y106" i="1" s="1"/>
  <c r="V106" i="1"/>
  <c r="U106" i="1"/>
  <c r="R106" i="1"/>
  <c r="R116" i="1" s="1"/>
  <c r="S116" i="1" s="1"/>
  <c r="O106" i="1"/>
  <c r="M106" i="1"/>
  <c r="L106" i="1"/>
  <c r="J106" i="1"/>
  <c r="I106" i="1"/>
  <c r="H106" i="1"/>
  <c r="F106" i="1"/>
  <c r="G106" i="1" s="1"/>
  <c r="D106" i="1"/>
  <c r="C106" i="1"/>
  <c r="AK105" i="1"/>
  <c r="AJ105" i="1"/>
  <c r="AG105" i="1"/>
  <c r="AH105" i="1" s="1"/>
  <c r="AD105" i="1"/>
  <c r="AE105" i="1" s="1"/>
  <c r="AB105" i="1"/>
  <c r="AA105" i="1"/>
  <c r="X105" i="1"/>
  <c r="Y105" i="1" s="1"/>
  <c r="U105" i="1"/>
  <c r="V105" i="1" s="1"/>
  <c r="R105" i="1"/>
  <c r="S105" i="1" s="1"/>
  <c r="O105" i="1"/>
  <c r="P105" i="1" s="1"/>
  <c r="L105" i="1"/>
  <c r="M105" i="1" s="1"/>
  <c r="K105" i="1"/>
  <c r="AL105" i="1" s="1"/>
  <c r="I105" i="1"/>
  <c r="J105" i="1" s="1"/>
  <c r="G105" i="1"/>
  <c r="F105" i="1"/>
  <c r="C105" i="1"/>
  <c r="D105" i="1" s="1"/>
  <c r="AL104" i="1"/>
  <c r="AJ104" i="1"/>
  <c r="AK104" i="1" s="1"/>
  <c r="AH104" i="1"/>
  <c r="AG104" i="1"/>
  <c r="AD104" i="1"/>
  <c r="AE104" i="1" s="1"/>
  <c r="AA104" i="1"/>
  <c r="AB104" i="1" s="1"/>
  <c r="X104" i="1"/>
  <c r="Y104" i="1" s="1"/>
  <c r="V104" i="1"/>
  <c r="U104" i="1"/>
  <c r="R104" i="1"/>
  <c r="S104" i="1" s="1"/>
  <c r="O104" i="1"/>
  <c r="P104" i="1" s="1"/>
  <c r="M104" i="1"/>
  <c r="L104" i="1"/>
  <c r="J104" i="1"/>
  <c r="I104" i="1"/>
  <c r="F104" i="1"/>
  <c r="G104" i="1" s="1"/>
  <c r="C104" i="1"/>
  <c r="D104" i="1" s="1"/>
  <c r="AL103" i="1"/>
  <c r="AK103" i="1"/>
  <c r="AJ103" i="1"/>
  <c r="AG103" i="1"/>
  <c r="AH103" i="1" s="1"/>
  <c r="AD103" i="1"/>
  <c r="AE103" i="1" s="1"/>
  <c r="AB103" i="1"/>
  <c r="AA103" i="1"/>
  <c r="Y103" i="1"/>
  <c r="X103" i="1"/>
  <c r="V103" i="1"/>
  <c r="U103" i="1"/>
  <c r="R103" i="1"/>
  <c r="S103" i="1" s="1"/>
  <c r="O103" i="1"/>
  <c r="P103" i="1" s="1"/>
  <c r="M103" i="1"/>
  <c r="L103" i="1"/>
  <c r="J103" i="1"/>
  <c r="I103" i="1"/>
  <c r="G103" i="1"/>
  <c r="F103" i="1"/>
  <c r="C103" i="1"/>
  <c r="D103" i="1" s="1"/>
  <c r="AJ102" i="1"/>
  <c r="AK102" i="1" s="1"/>
  <c r="AH102" i="1"/>
  <c r="AG102" i="1"/>
  <c r="AE102" i="1"/>
  <c r="AD102" i="1"/>
  <c r="AA102" i="1"/>
  <c r="AB102" i="1" s="1"/>
  <c r="Y102" i="1"/>
  <c r="X102" i="1"/>
  <c r="U102" i="1"/>
  <c r="V102" i="1" s="1"/>
  <c r="R102" i="1"/>
  <c r="S102" i="1" s="1"/>
  <c r="O102" i="1"/>
  <c r="P102" i="1" s="1"/>
  <c r="L102" i="1"/>
  <c r="K102" i="1"/>
  <c r="J102" i="1"/>
  <c r="I102" i="1"/>
  <c r="H102" i="1"/>
  <c r="F102" i="1"/>
  <c r="G102" i="1" s="1"/>
  <c r="E102" i="1"/>
  <c r="C102" i="1"/>
  <c r="B102" i="1"/>
  <c r="AI101" i="1"/>
  <c r="AF101" i="1"/>
  <c r="AC101" i="1"/>
  <c r="AA101" i="1"/>
  <c r="AB101" i="1" s="1"/>
  <c r="Z101" i="1"/>
  <c r="X101" i="1"/>
  <c r="W101" i="1"/>
  <c r="T101" i="1"/>
  <c r="Q101" i="1"/>
  <c r="N101" i="1"/>
  <c r="L101" i="1"/>
  <c r="M101" i="1" s="1"/>
  <c r="F101" i="1"/>
  <c r="G101" i="1" s="1"/>
  <c r="E101" i="1"/>
  <c r="AL100" i="1"/>
  <c r="AJ100" i="1"/>
  <c r="AK100" i="1" s="1"/>
  <c r="AG100" i="1"/>
  <c r="AH100" i="1" s="1"/>
  <c r="AD100" i="1"/>
  <c r="AE100" i="1" s="1"/>
  <c r="AA100" i="1"/>
  <c r="AB100" i="1" s="1"/>
  <c r="Y100" i="1"/>
  <c r="X100" i="1"/>
  <c r="U100" i="1"/>
  <c r="V100" i="1" s="1"/>
  <c r="R100" i="1"/>
  <c r="S100" i="1" s="1"/>
  <c r="O100" i="1"/>
  <c r="P100" i="1" s="1"/>
  <c r="M100" i="1"/>
  <c r="L100" i="1"/>
  <c r="J100" i="1"/>
  <c r="I100" i="1"/>
  <c r="F100" i="1"/>
  <c r="G100" i="1" s="1"/>
  <c r="D100" i="1"/>
  <c r="C100" i="1"/>
  <c r="AL99" i="1"/>
  <c r="AK99" i="1"/>
  <c r="AJ99" i="1"/>
  <c r="AH99" i="1"/>
  <c r="AG99" i="1"/>
  <c r="AD99" i="1"/>
  <c r="AE99" i="1" s="1"/>
  <c r="AA99" i="1"/>
  <c r="AB99" i="1" s="1"/>
  <c r="X99" i="1"/>
  <c r="Y99" i="1" s="1"/>
  <c r="V99" i="1"/>
  <c r="U99" i="1"/>
  <c r="S99" i="1"/>
  <c r="R99" i="1"/>
  <c r="O99" i="1"/>
  <c r="P99" i="1" s="1"/>
  <c r="L99" i="1"/>
  <c r="M99" i="1" s="1"/>
  <c r="I99" i="1"/>
  <c r="G99" i="1"/>
  <c r="F99" i="1"/>
  <c r="D99" i="1"/>
  <c r="C99" i="1"/>
  <c r="AJ98" i="1"/>
  <c r="AK98" i="1" s="1"/>
  <c r="AH98" i="1"/>
  <c r="AG98" i="1"/>
  <c r="AD98" i="1"/>
  <c r="AE98" i="1" s="1"/>
  <c r="AA98" i="1"/>
  <c r="AB98" i="1" s="1"/>
  <c r="X98" i="1"/>
  <c r="Y98" i="1" s="1"/>
  <c r="U98" i="1"/>
  <c r="V98" i="1" s="1"/>
  <c r="S98" i="1"/>
  <c r="R98" i="1"/>
  <c r="P98" i="1"/>
  <c r="O98" i="1"/>
  <c r="M98" i="1"/>
  <c r="L98" i="1"/>
  <c r="K98" i="1"/>
  <c r="I98" i="1"/>
  <c r="H98" i="1"/>
  <c r="G98" i="1"/>
  <c r="F98" i="1"/>
  <c r="E98" i="1"/>
  <c r="C98" i="1"/>
  <c r="B98" i="1"/>
  <c r="AL98" i="1" s="1"/>
  <c r="AJ97" i="1"/>
  <c r="AH97" i="1"/>
  <c r="AG97" i="1"/>
  <c r="AD97" i="1"/>
  <c r="AE97" i="1" s="1"/>
  <c r="AA97" i="1"/>
  <c r="AB97" i="1" s="1"/>
  <c r="X97" i="1"/>
  <c r="Y97" i="1" s="1"/>
  <c r="U97" i="1"/>
  <c r="S97" i="1"/>
  <c r="R97" i="1"/>
  <c r="O97" i="1"/>
  <c r="P97" i="1" s="1"/>
  <c r="L97" i="1"/>
  <c r="M97" i="1" s="1"/>
  <c r="K97" i="1"/>
  <c r="K101" i="1" s="1"/>
  <c r="I97" i="1"/>
  <c r="J97" i="1" s="1"/>
  <c r="H97" i="1"/>
  <c r="F97" i="1"/>
  <c r="G97" i="1" s="1"/>
  <c r="E97" i="1"/>
  <c r="D97" i="1"/>
  <c r="C97" i="1"/>
  <c r="B97" i="1"/>
  <c r="AL97" i="1" s="1"/>
  <c r="AN96" i="1"/>
  <c r="AM96" i="1"/>
  <c r="AL96" i="1"/>
  <c r="AK96" i="1"/>
  <c r="AH96" i="1"/>
  <c r="AE96" i="1"/>
  <c r="AB96" i="1"/>
  <c r="Y96" i="1"/>
  <c r="V96" i="1"/>
  <c r="S96" i="1"/>
  <c r="P96" i="1"/>
  <c r="M96" i="1"/>
  <c r="J96" i="1"/>
  <c r="G96" i="1"/>
  <c r="D96" i="1"/>
  <c r="AK95" i="1"/>
  <c r="AJ95" i="1"/>
  <c r="AG95" i="1"/>
  <c r="AH95" i="1" s="1"/>
  <c r="AD95" i="1"/>
  <c r="AE95" i="1" s="1"/>
  <c r="AA95" i="1"/>
  <c r="AB95" i="1" s="1"/>
  <c r="X95" i="1"/>
  <c r="Y95" i="1" s="1"/>
  <c r="U95" i="1"/>
  <c r="V95" i="1" s="1"/>
  <c r="R95" i="1"/>
  <c r="S95" i="1" s="1"/>
  <c r="P95" i="1"/>
  <c r="O95" i="1"/>
  <c r="M95" i="1"/>
  <c r="L95" i="1"/>
  <c r="I95" i="1"/>
  <c r="J95" i="1" s="1"/>
  <c r="F95" i="1"/>
  <c r="G95" i="1" s="1"/>
  <c r="C95" i="1"/>
  <c r="B95" i="1"/>
  <c r="AL94" i="1"/>
  <c r="AJ94" i="1"/>
  <c r="AK94" i="1" s="1"/>
  <c r="AH94" i="1"/>
  <c r="AG94" i="1"/>
  <c r="AD94" i="1"/>
  <c r="AE94" i="1" s="1"/>
  <c r="AA94" i="1"/>
  <c r="AB94" i="1" s="1"/>
  <c r="Y94" i="1"/>
  <c r="X94" i="1"/>
  <c r="U94" i="1"/>
  <c r="V94" i="1" s="1"/>
  <c r="R94" i="1"/>
  <c r="S94" i="1" s="1"/>
  <c r="O94" i="1"/>
  <c r="P94" i="1" s="1"/>
  <c r="M94" i="1"/>
  <c r="L94" i="1"/>
  <c r="I94" i="1"/>
  <c r="J94" i="1" s="1"/>
  <c r="F94" i="1"/>
  <c r="G94" i="1" s="1"/>
  <c r="D94" i="1"/>
  <c r="C94" i="1"/>
  <c r="AL93" i="1"/>
  <c r="AK93" i="1"/>
  <c r="AJ93" i="1"/>
  <c r="AH93" i="1"/>
  <c r="AG93" i="1"/>
  <c r="AD93" i="1"/>
  <c r="AE93" i="1" s="1"/>
  <c r="AA93" i="1"/>
  <c r="AB93" i="1" s="1"/>
  <c r="Y93" i="1"/>
  <c r="X93" i="1"/>
  <c r="V93" i="1"/>
  <c r="U93" i="1"/>
  <c r="S93" i="1"/>
  <c r="R93" i="1"/>
  <c r="O93" i="1"/>
  <c r="P93" i="1" s="1"/>
  <c r="L93" i="1"/>
  <c r="M93" i="1" s="1"/>
  <c r="I93" i="1"/>
  <c r="G93" i="1"/>
  <c r="F93" i="1"/>
  <c r="D93" i="1"/>
  <c r="C93" i="1"/>
  <c r="AJ92" i="1"/>
  <c r="AK92" i="1" s="1"/>
  <c r="AG92" i="1"/>
  <c r="AH92" i="1" s="1"/>
  <c r="AD92" i="1"/>
  <c r="AE92" i="1" s="1"/>
  <c r="AA92" i="1"/>
  <c r="AB92" i="1" s="1"/>
  <c r="X92" i="1"/>
  <c r="Y92" i="1" s="1"/>
  <c r="U92" i="1"/>
  <c r="V92" i="1" s="1"/>
  <c r="R92" i="1"/>
  <c r="S92" i="1" s="1"/>
  <c r="P92" i="1"/>
  <c r="O92" i="1"/>
  <c r="L92" i="1"/>
  <c r="M92" i="1" s="1"/>
  <c r="K92" i="1"/>
  <c r="AL92" i="1" s="1"/>
  <c r="I92" i="1"/>
  <c r="J92" i="1" s="1"/>
  <c r="F92" i="1"/>
  <c r="G92" i="1" s="1"/>
  <c r="D92" i="1"/>
  <c r="C92" i="1"/>
  <c r="AK91" i="1"/>
  <c r="AJ91" i="1"/>
  <c r="AG91" i="1"/>
  <c r="AH91" i="1" s="1"/>
  <c r="AD91" i="1"/>
  <c r="AE91" i="1" s="1"/>
  <c r="AB91" i="1"/>
  <c r="AA91" i="1"/>
  <c r="X91" i="1"/>
  <c r="Y91" i="1" s="1"/>
  <c r="U91" i="1"/>
  <c r="V91" i="1" s="1"/>
  <c r="S91" i="1"/>
  <c r="R91" i="1"/>
  <c r="P91" i="1"/>
  <c r="O91" i="1"/>
  <c r="L91" i="1"/>
  <c r="M91" i="1" s="1"/>
  <c r="K91" i="1"/>
  <c r="J91" i="1"/>
  <c r="I91" i="1"/>
  <c r="H91" i="1"/>
  <c r="G91" i="1"/>
  <c r="F91" i="1"/>
  <c r="E91" i="1"/>
  <c r="C91" i="1"/>
  <c r="B91" i="1"/>
  <c r="AL90" i="1"/>
  <c r="AJ90" i="1"/>
  <c r="AK90" i="1" s="1"/>
  <c r="AH90" i="1"/>
  <c r="AG90" i="1"/>
  <c r="AE90" i="1"/>
  <c r="AD90" i="1"/>
  <c r="AB90" i="1"/>
  <c r="AA90" i="1"/>
  <c r="X90" i="1"/>
  <c r="Y90" i="1" s="1"/>
  <c r="U90" i="1"/>
  <c r="V90" i="1" s="1"/>
  <c r="S90" i="1"/>
  <c r="R90" i="1"/>
  <c r="O90" i="1"/>
  <c r="P90" i="1"/>
  <c r="L90" i="1"/>
  <c r="K90" i="1"/>
  <c r="I90" i="1"/>
  <c r="H90" i="1"/>
  <c r="J90" i="1" s="1"/>
  <c r="G90" i="1"/>
  <c r="F90" i="1"/>
  <c r="E90" i="1"/>
  <c r="C90" i="1"/>
  <c r="B90" i="1"/>
  <c r="D90" i="1" s="1"/>
  <c r="AI89" i="1"/>
  <c r="AF89" i="1"/>
  <c r="AD89" i="1"/>
  <c r="AE89" i="1" s="1"/>
  <c r="AC89" i="1"/>
  <c r="AA89" i="1"/>
  <c r="Z89" i="1"/>
  <c r="W89" i="1"/>
  <c r="T89" i="1"/>
  <c r="R89" i="1"/>
  <c r="S89" i="1" s="1"/>
  <c r="Q89" i="1"/>
  <c r="O89" i="1"/>
  <c r="P89" i="1" s="1"/>
  <c r="N89" i="1"/>
  <c r="E89" i="1"/>
  <c r="AJ88" i="1"/>
  <c r="AK88" i="1" s="1"/>
  <c r="AH88" i="1"/>
  <c r="AG88" i="1"/>
  <c r="AE88" i="1"/>
  <c r="AD88" i="1"/>
  <c r="AA88" i="1"/>
  <c r="AB88" i="1" s="1"/>
  <c r="X88" i="1"/>
  <c r="Y88" i="1" s="1"/>
  <c r="V88" i="1"/>
  <c r="U88" i="1"/>
  <c r="S88" i="1"/>
  <c r="R88" i="1"/>
  <c r="O88" i="1"/>
  <c r="P88" i="1" s="1"/>
  <c r="L88" i="1"/>
  <c r="M88" i="1" s="1"/>
  <c r="K88" i="1"/>
  <c r="I88" i="1"/>
  <c r="H88" i="1"/>
  <c r="H89" i="1" s="1"/>
  <c r="G88" i="1"/>
  <c r="F88" i="1"/>
  <c r="E88" i="1"/>
  <c r="AL88" i="1" s="1"/>
  <c r="D88" i="1"/>
  <c r="C88" i="1"/>
  <c r="B88" i="1"/>
  <c r="B89" i="1" s="1"/>
  <c r="AJ87" i="1"/>
  <c r="AG87" i="1"/>
  <c r="AE87" i="1"/>
  <c r="AD87" i="1"/>
  <c r="AB87" i="1"/>
  <c r="AA87" i="1"/>
  <c r="Y87" i="1"/>
  <c r="X87" i="1"/>
  <c r="U87" i="1"/>
  <c r="R87" i="1"/>
  <c r="S87" i="1" s="1"/>
  <c r="P87" i="1"/>
  <c r="O87" i="1"/>
  <c r="L87" i="1"/>
  <c r="K87" i="1"/>
  <c r="I87" i="1"/>
  <c r="G87" i="1"/>
  <c r="F87" i="1"/>
  <c r="F89" i="1" s="1"/>
  <c r="D87" i="1"/>
  <c r="C87" i="1"/>
  <c r="AM86" i="1"/>
  <c r="AN86" i="1" s="1"/>
  <c r="AL86" i="1"/>
  <c r="AK86" i="1"/>
  <c r="AH86" i="1"/>
  <c r="AE86" i="1"/>
  <c r="AB86" i="1"/>
  <c r="Y86" i="1"/>
  <c r="V86" i="1"/>
  <c r="S86" i="1"/>
  <c r="P86" i="1"/>
  <c r="M86" i="1"/>
  <c r="J86" i="1"/>
  <c r="G86" i="1"/>
  <c r="D86" i="1"/>
  <c r="AI85" i="1"/>
  <c r="AF85" i="1"/>
  <c r="AD85" i="1"/>
  <c r="AE85" i="1" s="1"/>
  <c r="AC85" i="1"/>
  <c r="Z85" i="1"/>
  <c r="W85" i="1"/>
  <c r="T85" i="1"/>
  <c r="Q85" i="1"/>
  <c r="P85" i="1"/>
  <c r="N85" i="1"/>
  <c r="B85" i="1"/>
  <c r="AJ84" i="1"/>
  <c r="AK84" i="1" s="1"/>
  <c r="AH84" i="1"/>
  <c r="AG84" i="1"/>
  <c r="AE84" i="1"/>
  <c r="AD84" i="1"/>
  <c r="AB84" i="1"/>
  <c r="AA84" i="1"/>
  <c r="AA85" i="1" s="1"/>
  <c r="AB85" i="1" s="1"/>
  <c r="X84" i="1"/>
  <c r="Y84" i="1" s="1"/>
  <c r="U84" i="1"/>
  <c r="V84" i="1" s="1"/>
  <c r="S84" i="1"/>
  <c r="R84" i="1"/>
  <c r="P84" i="1"/>
  <c r="O84" i="1"/>
  <c r="L84" i="1"/>
  <c r="K84" i="1"/>
  <c r="K85" i="1" s="1"/>
  <c r="I84" i="1"/>
  <c r="H84" i="1"/>
  <c r="J84" i="1" s="1"/>
  <c r="G84" i="1"/>
  <c r="F84" i="1"/>
  <c r="E84" i="1"/>
  <c r="C84" i="1"/>
  <c r="B84" i="1"/>
  <c r="AL83" i="1"/>
  <c r="AJ83" i="1"/>
  <c r="AK83" i="1" s="1"/>
  <c r="AG83" i="1"/>
  <c r="AH83" i="1" s="1"/>
  <c r="AD83" i="1"/>
  <c r="AE83" i="1" s="1"/>
  <c r="AB83" i="1"/>
  <c r="AA83" i="1"/>
  <c r="Y83" i="1"/>
  <c r="X83" i="1"/>
  <c r="V83" i="1"/>
  <c r="U83" i="1"/>
  <c r="R83" i="1"/>
  <c r="S83" i="1" s="1"/>
  <c r="O83" i="1"/>
  <c r="P83" i="1" s="1"/>
  <c r="L83" i="1"/>
  <c r="J83" i="1"/>
  <c r="I83" i="1"/>
  <c r="F83" i="1"/>
  <c r="C83" i="1"/>
  <c r="D83" i="1" s="1"/>
  <c r="AL82" i="1"/>
  <c r="AK82" i="1"/>
  <c r="AJ82" i="1"/>
  <c r="AG82" i="1"/>
  <c r="AE82" i="1"/>
  <c r="AD82" i="1"/>
  <c r="AB82" i="1"/>
  <c r="AA82" i="1"/>
  <c r="X82" i="1"/>
  <c r="X85" i="1" s="1"/>
  <c r="Y85" i="1" s="1"/>
  <c r="V82" i="1"/>
  <c r="U82" i="1"/>
  <c r="R82" i="1"/>
  <c r="P82" i="1"/>
  <c r="O82" i="1"/>
  <c r="O85" i="1" s="1"/>
  <c r="L82" i="1"/>
  <c r="K82" i="1"/>
  <c r="M82" i="1" s="1"/>
  <c r="J82" i="1"/>
  <c r="I82" i="1"/>
  <c r="I85" i="1" s="1"/>
  <c r="H82" i="1"/>
  <c r="H85" i="1" s="1"/>
  <c r="J85" i="1" s="1"/>
  <c r="F82" i="1"/>
  <c r="E82" i="1"/>
  <c r="E85" i="1" s="1"/>
  <c r="C82" i="1"/>
  <c r="D82" i="1" s="1"/>
  <c r="B82" i="1"/>
  <c r="AN81" i="1"/>
  <c r="AM81" i="1"/>
  <c r="AK81" i="1"/>
  <c r="AH81" i="1"/>
  <c r="AE81" i="1"/>
  <c r="AB81" i="1"/>
  <c r="Y81" i="1"/>
  <c r="V81" i="1"/>
  <c r="S81" i="1"/>
  <c r="P81" i="1"/>
  <c r="M81" i="1"/>
  <c r="K81" i="1"/>
  <c r="AL81" i="1" s="1"/>
  <c r="J81" i="1"/>
  <c r="G81" i="1"/>
  <c r="D81" i="1"/>
  <c r="AI80" i="1"/>
  <c r="AF80" i="1"/>
  <c r="AC80" i="1"/>
  <c r="Z80" i="1"/>
  <c r="W80" i="1"/>
  <c r="T80" i="1"/>
  <c r="Q80" i="1"/>
  <c r="N80" i="1"/>
  <c r="K80" i="1"/>
  <c r="E80" i="1"/>
  <c r="AK79" i="1"/>
  <c r="AJ79" i="1"/>
  <c r="AG79" i="1"/>
  <c r="AG80" i="1" s="1"/>
  <c r="AH80" i="1" s="1"/>
  <c r="AD79" i="1"/>
  <c r="AE79" i="1" s="1"/>
  <c r="AA79" i="1"/>
  <c r="AB79" i="1" s="1"/>
  <c r="Y79" i="1"/>
  <c r="X79" i="1"/>
  <c r="V79" i="1"/>
  <c r="U79" i="1"/>
  <c r="S79" i="1"/>
  <c r="R79" i="1"/>
  <c r="P79" i="1"/>
  <c r="O79" i="1"/>
  <c r="L79" i="1"/>
  <c r="M79" i="1" s="1"/>
  <c r="J79" i="1"/>
  <c r="I79" i="1"/>
  <c r="H79" i="1"/>
  <c r="AL79" i="1" s="1"/>
  <c r="F79" i="1"/>
  <c r="C79" i="1"/>
  <c r="AK78" i="1"/>
  <c r="AJ78" i="1"/>
  <c r="AH78" i="1"/>
  <c r="AG78" i="1"/>
  <c r="AD78" i="1"/>
  <c r="AA78" i="1"/>
  <c r="AB78" i="1" s="1"/>
  <c r="X78" i="1"/>
  <c r="V78" i="1"/>
  <c r="U78" i="1"/>
  <c r="S78" i="1"/>
  <c r="R78" i="1"/>
  <c r="O78" i="1"/>
  <c r="P78" i="1" s="1"/>
  <c r="L78" i="1"/>
  <c r="M78" i="1" s="1"/>
  <c r="I78" i="1"/>
  <c r="H78" i="1"/>
  <c r="F78" i="1"/>
  <c r="G78" i="1" s="1"/>
  <c r="C78" i="1"/>
  <c r="B78" i="1"/>
  <c r="AL78" i="1" s="1"/>
  <c r="AJ77" i="1"/>
  <c r="AK77" i="1" s="1"/>
  <c r="AG77" i="1"/>
  <c r="AH77" i="1" s="1"/>
  <c r="AD77" i="1"/>
  <c r="AE77" i="1" s="1"/>
  <c r="AA77" i="1"/>
  <c r="Y77" i="1"/>
  <c r="X77" i="1"/>
  <c r="U77" i="1"/>
  <c r="R77" i="1"/>
  <c r="S77" i="1" s="1"/>
  <c r="O77" i="1"/>
  <c r="P77" i="1" s="1"/>
  <c r="L77" i="1"/>
  <c r="K77" i="1"/>
  <c r="I77" i="1"/>
  <c r="H77" i="1"/>
  <c r="F77" i="1"/>
  <c r="G77" i="1" s="1"/>
  <c r="E77" i="1"/>
  <c r="C77" i="1"/>
  <c r="B77" i="1"/>
  <c r="B80" i="1" s="1"/>
  <c r="AN76" i="1"/>
  <c r="AM76" i="1"/>
  <c r="AL76" i="1"/>
  <c r="AK76" i="1"/>
  <c r="AH76" i="1"/>
  <c r="AE76" i="1"/>
  <c r="AB76" i="1"/>
  <c r="Y76" i="1"/>
  <c r="V76" i="1"/>
  <c r="S76" i="1"/>
  <c r="P76" i="1"/>
  <c r="M76" i="1"/>
  <c r="J76" i="1"/>
  <c r="G76" i="1"/>
  <c r="D76" i="1"/>
  <c r="AK75" i="1"/>
  <c r="AJ75" i="1"/>
  <c r="AG75" i="1"/>
  <c r="AH75" i="1" s="1"/>
  <c r="AE75" i="1"/>
  <c r="AD75" i="1"/>
  <c r="AA75" i="1"/>
  <c r="AB75" i="1" s="1"/>
  <c r="X75" i="1"/>
  <c r="Y75" i="1" s="1"/>
  <c r="U75" i="1"/>
  <c r="V75" i="1" s="1"/>
  <c r="R75" i="1"/>
  <c r="S75" i="1" s="1"/>
  <c r="O75" i="1"/>
  <c r="P75" i="1" s="1"/>
  <c r="L75" i="1"/>
  <c r="K75" i="1"/>
  <c r="M75" i="1" s="1"/>
  <c r="J75" i="1"/>
  <c r="I75" i="1"/>
  <c r="H75" i="1"/>
  <c r="F75" i="1"/>
  <c r="G75" i="1" s="1"/>
  <c r="E75" i="1"/>
  <c r="AL75" i="1" s="1"/>
  <c r="C75" i="1"/>
  <c r="D75" i="1" s="1"/>
  <c r="B75" i="1"/>
  <c r="AL74" i="1"/>
  <c r="AJ74" i="1"/>
  <c r="AK74" i="1" s="1"/>
  <c r="AH74" i="1"/>
  <c r="AG74" i="1"/>
  <c r="AD74" i="1"/>
  <c r="AE74" i="1" s="1"/>
  <c r="AA74" i="1"/>
  <c r="AB74" i="1" s="1"/>
  <c r="Y74" i="1"/>
  <c r="X74" i="1"/>
  <c r="U74" i="1"/>
  <c r="V74" i="1" s="1"/>
  <c r="R74" i="1"/>
  <c r="S74" i="1" s="1"/>
  <c r="O74" i="1"/>
  <c r="P74" i="1" s="1"/>
  <c r="L74" i="1"/>
  <c r="M74" i="1" s="1"/>
  <c r="J74" i="1"/>
  <c r="I74" i="1"/>
  <c r="AM74" i="1" s="1"/>
  <c r="AN74" i="1" s="1"/>
  <c r="G74" i="1"/>
  <c r="F74" i="1"/>
  <c r="E74" i="1"/>
  <c r="D74" i="1"/>
  <c r="C74" i="1"/>
  <c r="AJ73" i="1"/>
  <c r="AK73" i="1" s="1"/>
  <c r="AG73" i="1"/>
  <c r="AH73" i="1" s="1"/>
  <c r="AE73" i="1"/>
  <c r="AD73" i="1"/>
  <c r="AA73" i="1"/>
  <c r="AB73" i="1" s="1"/>
  <c r="X73" i="1"/>
  <c r="Y73" i="1" s="1"/>
  <c r="U73" i="1"/>
  <c r="V73" i="1" s="1"/>
  <c r="R73" i="1"/>
  <c r="S73" i="1" s="1"/>
  <c r="P73" i="1"/>
  <c r="O73" i="1"/>
  <c r="L73" i="1"/>
  <c r="M73" i="1" s="1"/>
  <c r="K73" i="1"/>
  <c r="I73" i="1"/>
  <c r="J73" i="1" s="1"/>
  <c r="H73" i="1"/>
  <c r="F73" i="1"/>
  <c r="G73" i="1" s="1"/>
  <c r="E73" i="1"/>
  <c r="AL73" i="1" s="1"/>
  <c r="D73" i="1"/>
  <c r="C73" i="1"/>
  <c r="B73" i="1"/>
  <c r="AI72" i="1"/>
  <c r="AF72" i="1"/>
  <c r="AC72" i="1"/>
  <c r="Z72" i="1"/>
  <c r="W72" i="1"/>
  <c r="T72" i="1"/>
  <c r="Q72" i="1"/>
  <c r="N72" i="1"/>
  <c r="C72" i="1"/>
  <c r="AL71" i="1"/>
  <c r="AJ71" i="1"/>
  <c r="AK71" i="1" s="1"/>
  <c r="AG71" i="1"/>
  <c r="AH71" i="1" s="1"/>
  <c r="AE71" i="1"/>
  <c r="AD71" i="1"/>
  <c r="AA71" i="1"/>
  <c r="AB71" i="1" s="1"/>
  <c r="X71" i="1"/>
  <c r="Y71" i="1" s="1"/>
  <c r="V71" i="1"/>
  <c r="U71" i="1"/>
  <c r="R71" i="1"/>
  <c r="S71" i="1" s="1"/>
  <c r="O71" i="1"/>
  <c r="P71" i="1" s="1"/>
  <c r="L71" i="1"/>
  <c r="M71" i="1" s="1"/>
  <c r="I71" i="1"/>
  <c r="J71" i="1" s="1"/>
  <c r="G71" i="1"/>
  <c r="F71" i="1"/>
  <c r="D71" i="1"/>
  <c r="C71" i="1"/>
  <c r="AK70" i="1"/>
  <c r="AJ70" i="1"/>
  <c r="AH70" i="1"/>
  <c r="AG70" i="1"/>
  <c r="AD70" i="1"/>
  <c r="AE70" i="1" s="1"/>
  <c r="AB70" i="1"/>
  <c r="AA70" i="1"/>
  <c r="Y70" i="1"/>
  <c r="X70" i="1"/>
  <c r="V70" i="1"/>
  <c r="U70" i="1"/>
  <c r="S70" i="1"/>
  <c r="R70" i="1"/>
  <c r="O70" i="1"/>
  <c r="M70" i="1"/>
  <c r="L70" i="1"/>
  <c r="J70" i="1"/>
  <c r="I70" i="1"/>
  <c r="F70" i="1"/>
  <c r="E70" i="1"/>
  <c r="D70" i="1"/>
  <c r="C70" i="1"/>
  <c r="AM69" i="1"/>
  <c r="AN69" i="1" s="1"/>
  <c r="AL69" i="1"/>
  <c r="AK69" i="1"/>
  <c r="AJ69" i="1"/>
  <c r="AH69" i="1"/>
  <c r="AG69" i="1"/>
  <c r="AD69" i="1"/>
  <c r="AE69" i="1" s="1"/>
  <c r="AB69" i="1"/>
  <c r="AA69" i="1"/>
  <c r="X69" i="1"/>
  <c r="Y69" i="1" s="1"/>
  <c r="V69" i="1"/>
  <c r="U69" i="1"/>
  <c r="S69" i="1"/>
  <c r="R69" i="1"/>
  <c r="O69" i="1"/>
  <c r="P69" i="1" s="1"/>
  <c r="M69" i="1"/>
  <c r="L69" i="1"/>
  <c r="I69" i="1"/>
  <c r="J69" i="1" s="1"/>
  <c r="G69" i="1"/>
  <c r="F69" i="1"/>
  <c r="C69" i="1"/>
  <c r="B69" i="1"/>
  <c r="D69" i="1" s="1"/>
  <c r="AL68" i="1"/>
  <c r="AK68" i="1"/>
  <c r="AJ68" i="1"/>
  <c r="AH68" i="1"/>
  <c r="AG68" i="1"/>
  <c r="AE68" i="1"/>
  <c r="AD68" i="1"/>
  <c r="AA68" i="1"/>
  <c r="AB68" i="1" s="1"/>
  <c r="X68" i="1"/>
  <c r="Y68" i="1" s="1"/>
  <c r="U68" i="1"/>
  <c r="V68" i="1" s="1"/>
  <c r="S68" i="1"/>
  <c r="R68" i="1"/>
  <c r="P68" i="1"/>
  <c r="O68" i="1"/>
  <c r="L68" i="1"/>
  <c r="M68" i="1" s="1"/>
  <c r="I68" i="1"/>
  <c r="J68" i="1" s="1"/>
  <c r="F68" i="1"/>
  <c r="AM68" i="1" s="1"/>
  <c r="AN68" i="1" s="1"/>
  <c r="D68" i="1"/>
  <c r="C68" i="1"/>
  <c r="AJ67" i="1"/>
  <c r="AK67" i="1" s="1"/>
  <c r="AH67" i="1"/>
  <c r="AG67" i="1"/>
  <c r="AD67" i="1"/>
  <c r="AE67" i="1" s="1"/>
  <c r="AA67" i="1"/>
  <c r="AB67" i="1" s="1"/>
  <c r="X67" i="1"/>
  <c r="Y67" i="1" s="1"/>
  <c r="U67" i="1"/>
  <c r="V67" i="1" s="1"/>
  <c r="R67" i="1"/>
  <c r="S67" i="1" s="1"/>
  <c r="O67" i="1"/>
  <c r="P67" i="1" s="1"/>
  <c r="M67" i="1"/>
  <c r="L67" i="1"/>
  <c r="K67" i="1"/>
  <c r="I67" i="1"/>
  <c r="H67" i="1"/>
  <c r="F67" i="1"/>
  <c r="E67" i="1"/>
  <c r="D67" i="1"/>
  <c r="C67" i="1"/>
  <c r="B67" i="1"/>
  <c r="AL67" i="1" s="1"/>
  <c r="AK66" i="1"/>
  <c r="AJ66" i="1"/>
  <c r="AG66" i="1"/>
  <c r="AH66" i="1" s="1"/>
  <c r="AD66" i="1"/>
  <c r="AE66" i="1" s="1"/>
  <c r="AB66" i="1"/>
  <c r="AA66" i="1"/>
  <c r="X66" i="1"/>
  <c r="Y66" i="1" s="1"/>
  <c r="V66" i="1"/>
  <c r="U66" i="1"/>
  <c r="R66" i="1"/>
  <c r="S66" i="1" s="1"/>
  <c r="O66" i="1"/>
  <c r="P66" i="1" s="1"/>
  <c r="L66" i="1"/>
  <c r="M66" i="1" s="1"/>
  <c r="K66" i="1"/>
  <c r="I66" i="1"/>
  <c r="J66" i="1" s="1"/>
  <c r="F66" i="1"/>
  <c r="G66" i="1" s="1"/>
  <c r="C66" i="1"/>
  <c r="B66" i="1"/>
  <c r="AL66" i="1" s="1"/>
  <c r="AJ65" i="1"/>
  <c r="AK65" i="1" s="1"/>
  <c r="AG65" i="1"/>
  <c r="AH65" i="1" s="1"/>
  <c r="AE65" i="1"/>
  <c r="AD65" i="1"/>
  <c r="AA65" i="1"/>
  <c r="AB65" i="1" s="1"/>
  <c r="Y65" i="1"/>
  <c r="X65" i="1"/>
  <c r="U65" i="1"/>
  <c r="V65" i="1" s="1"/>
  <c r="R65" i="1"/>
  <c r="S65" i="1" s="1"/>
  <c r="O65" i="1"/>
  <c r="P65" i="1" s="1"/>
  <c r="L65" i="1"/>
  <c r="M65" i="1" s="1"/>
  <c r="K65" i="1"/>
  <c r="I65" i="1"/>
  <c r="H65" i="1"/>
  <c r="F65" i="1"/>
  <c r="E65" i="1"/>
  <c r="C65" i="1"/>
  <c r="B65" i="1"/>
  <c r="AK64" i="1"/>
  <c r="AJ64" i="1"/>
  <c r="AG64" i="1"/>
  <c r="AH64" i="1" s="1"/>
  <c r="AE64" i="1"/>
  <c r="AD64" i="1"/>
  <c r="AA64" i="1"/>
  <c r="AB64" i="1" s="1"/>
  <c r="X64" i="1"/>
  <c r="Y64" i="1" s="1"/>
  <c r="V64" i="1"/>
  <c r="U64" i="1"/>
  <c r="R64" i="1"/>
  <c r="S64" i="1" s="1"/>
  <c r="O64" i="1"/>
  <c r="P64" i="1" s="1"/>
  <c r="M64" i="1"/>
  <c r="L64" i="1"/>
  <c r="K64" i="1"/>
  <c r="I64" i="1"/>
  <c r="J64" i="1" s="1"/>
  <c r="H64" i="1"/>
  <c r="F64" i="1"/>
  <c r="E64" i="1"/>
  <c r="E72" i="1" s="1"/>
  <c r="D64" i="1"/>
  <c r="C64" i="1"/>
  <c r="B64" i="1"/>
  <c r="AL63" i="1"/>
  <c r="AJ63" i="1"/>
  <c r="AG63" i="1"/>
  <c r="AH63" i="1" s="1"/>
  <c r="AD63" i="1"/>
  <c r="AB63" i="1"/>
  <c r="AA63" i="1"/>
  <c r="X63" i="1"/>
  <c r="U63" i="1"/>
  <c r="S63" i="1"/>
  <c r="R63" i="1"/>
  <c r="O63" i="1"/>
  <c r="M63" i="1"/>
  <c r="L63" i="1"/>
  <c r="I63" i="1"/>
  <c r="F63" i="1"/>
  <c r="G63" i="1" s="1"/>
  <c r="E63" i="1"/>
  <c r="C63" i="1"/>
  <c r="AM62" i="1"/>
  <c r="AN62" i="1" s="1"/>
  <c r="AL62" i="1"/>
  <c r="AK62" i="1"/>
  <c r="AH62" i="1"/>
  <c r="AE62" i="1"/>
  <c r="AB62" i="1"/>
  <c r="Y62" i="1"/>
  <c r="V62" i="1"/>
  <c r="S62" i="1"/>
  <c r="P62" i="1"/>
  <c r="M62" i="1"/>
  <c r="J62" i="1"/>
  <c r="G62" i="1"/>
  <c r="D62" i="1"/>
  <c r="AK61" i="1"/>
  <c r="AI61" i="1"/>
  <c r="AF61" i="1"/>
  <c r="AC61" i="1"/>
  <c r="Z61" i="1"/>
  <c r="W61" i="1"/>
  <c r="T61" i="1"/>
  <c r="Q61" i="1"/>
  <c r="N61" i="1"/>
  <c r="K61" i="1"/>
  <c r="F61" i="1"/>
  <c r="AJ60" i="1"/>
  <c r="AK60" i="1" s="1"/>
  <c r="AG60" i="1"/>
  <c r="AH60" i="1" s="1"/>
  <c r="AE60" i="1"/>
  <c r="AD60" i="1"/>
  <c r="AA60" i="1"/>
  <c r="X60" i="1"/>
  <c r="Y60" i="1" s="1"/>
  <c r="U60" i="1"/>
  <c r="V60" i="1" s="1"/>
  <c r="R60" i="1"/>
  <c r="S60" i="1" s="1"/>
  <c r="P60" i="1"/>
  <c r="O60" i="1"/>
  <c r="L60" i="1"/>
  <c r="K60" i="1"/>
  <c r="I60" i="1"/>
  <c r="J60" i="1" s="1"/>
  <c r="H60" i="1"/>
  <c r="F60" i="1"/>
  <c r="G60" i="1" s="1"/>
  <c r="E60" i="1"/>
  <c r="E61" i="1" s="1"/>
  <c r="C60" i="1"/>
  <c r="B60" i="1"/>
  <c r="AJ59" i="1"/>
  <c r="AJ61" i="1" s="1"/>
  <c r="AH59" i="1"/>
  <c r="AG59" i="1"/>
  <c r="AD59" i="1"/>
  <c r="AB59" i="1"/>
  <c r="AA59" i="1"/>
  <c r="X59" i="1"/>
  <c r="Y59" i="1" s="1"/>
  <c r="U59" i="1"/>
  <c r="U61" i="1" s="1"/>
  <c r="V61" i="1" s="1"/>
  <c r="R59" i="1"/>
  <c r="R61" i="1" s="1"/>
  <c r="S61" i="1" s="1"/>
  <c r="O59" i="1"/>
  <c r="M59" i="1"/>
  <c r="L59" i="1"/>
  <c r="K59" i="1"/>
  <c r="I59" i="1"/>
  <c r="H59" i="1"/>
  <c r="H61" i="1" s="1"/>
  <c r="G59" i="1"/>
  <c r="F59" i="1"/>
  <c r="E59" i="1"/>
  <c r="D59" i="1"/>
  <c r="C59" i="1"/>
  <c r="B59" i="1"/>
  <c r="AM58" i="1"/>
  <c r="AN58" i="1" s="1"/>
  <c r="AL58" i="1"/>
  <c r="AK58" i="1"/>
  <c r="AH58" i="1"/>
  <c r="AE58" i="1"/>
  <c r="AB58" i="1"/>
  <c r="Y58" i="1"/>
  <c r="V58" i="1"/>
  <c r="S58" i="1"/>
  <c r="P58" i="1"/>
  <c r="M58" i="1"/>
  <c r="J58" i="1"/>
  <c r="G58" i="1"/>
  <c r="D58" i="1"/>
  <c r="AL57" i="1"/>
  <c r="AK57" i="1"/>
  <c r="AJ57" i="1"/>
  <c r="AG57" i="1"/>
  <c r="AH57" i="1" s="1"/>
  <c r="AD57" i="1"/>
  <c r="AE57" i="1" s="1"/>
  <c r="AA57" i="1"/>
  <c r="AB57" i="1" s="1"/>
  <c r="X57" i="1"/>
  <c r="Y57" i="1" s="1"/>
  <c r="V57" i="1"/>
  <c r="U57" i="1"/>
  <c r="R57" i="1"/>
  <c r="S57" i="1" s="1"/>
  <c r="P57" i="1"/>
  <c r="O57" i="1"/>
  <c r="L57" i="1"/>
  <c r="M57" i="1" s="1"/>
  <c r="I57" i="1"/>
  <c r="J57" i="1" s="1"/>
  <c r="G57" i="1"/>
  <c r="F57" i="1"/>
  <c r="C57" i="1"/>
  <c r="AC56" i="1"/>
  <c r="AC134" i="1" s="1"/>
  <c r="Q56" i="1"/>
  <c r="AM55" i="1"/>
  <c r="AN55" i="1" s="1"/>
  <c r="AL55" i="1"/>
  <c r="AJ55" i="1"/>
  <c r="AK55" i="1" s="1"/>
  <c r="AG55" i="1"/>
  <c r="AH55" i="1" s="1"/>
  <c r="AE55" i="1"/>
  <c r="AD55" i="1"/>
  <c r="AA55" i="1"/>
  <c r="AB55" i="1" s="1"/>
  <c r="X55" i="1"/>
  <c r="Y55" i="1" s="1"/>
  <c r="U55" i="1"/>
  <c r="V55" i="1" s="1"/>
  <c r="R55" i="1"/>
  <c r="S55" i="1" s="1"/>
  <c r="P55" i="1"/>
  <c r="O55" i="1"/>
  <c r="L55" i="1"/>
  <c r="M55" i="1" s="1"/>
  <c r="K55" i="1"/>
  <c r="I55" i="1"/>
  <c r="J55" i="1" s="1"/>
  <c r="G55" i="1"/>
  <c r="F55" i="1"/>
  <c r="D55" i="1"/>
  <c r="C55" i="1"/>
  <c r="AL54" i="1"/>
  <c r="AK54" i="1"/>
  <c r="AJ54" i="1"/>
  <c r="AG54" i="1"/>
  <c r="AH54" i="1" s="1"/>
  <c r="AD54" i="1"/>
  <c r="AE54" i="1" s="1"/>
  <c r="AB54" i="1"/>
  <c r="AA54" i="1"/>
  <c r="X54" i="1"/>
  <c r="Y54" i="1" s="1"/>
  <c r="U54" i="1"/>
  <c r="V54" i="1" s="1"/>
  <c r="S54" i="1"/>
  <c r="R54" i="1"/>
  <c r="O54" i="1"/>
  <c r="P54" i="1" s="1"/>
  <c r="M54" i="1"/>
  <c r="L54" i="1"/>
  <c r="K54" i="1"/>
  <c r="J54" i="1"/>
  <c r="I54" i="1"/>
  <c r="F54" i="1"/>
  <c r="G54" i="1" s="1"/>
  <c r="D54" i="1"/>
  <c r="C54" i="1"/>
  <c r="AJ53" i="1"/>
  <c r="AK53" i="1" s="1"/>
  <c r="AG53" i="1"/>
  <c r="AH53" i="1" s="1"/>
  <c r="AE53" i="1"/>
  <c r="AD53" i="1"/>
  <c r="AA53" i="1"/>
  <c r="AB53" i="1" s="1"/>
  <c r="Y53" i="1"/>
  <c r="X53" i="1"/>
  <c r="U53" i="1"/>
  <c r="V53" i="1" s="1"/>
  <c r="R53" i="1"/>
  <c r="S53" i="1" s="1"/>
  <c r="O53" i="1"/>
  <c r="P53" i="1" s="1"/>
  <c r="L53" i="1"/>
  <c r="K53" i="1"/>
  <c r="I53" i="1"/>
  <c r="H53" i="1"/>
  <c r="F53" i="1"/>
  <c r="G53" i="1" s="1"/>
  <c r="E53" i="1"/>
  <c r="C53" i="1"/>
  <c r="B53" i="1"/>
  <c r="AI52" i="1"/>
  <c r="AI56" i="1" s="1"/>
  <c r="AI134" i="1" s="1"/>
  <c r="Z52" i="1"/>
  <c r="Z56" i="1" s="1"/>
  <c r="Q52" i="1"/>
  <c r="N52" i="1"/>
  <c r="N56" i="1" s="1"/>
  <c r="AJ51" i="1"/>
  <c r="AI51" i="1"/>
  <c r="AF51" i="1"/>
  <c r="AF52" i="1" s="1"/>
  <c r="AF56" i="1" s="1"/>
  <c r="AC51" i="1"/>
  <c r="AC52" i="1" s="1"/>
  <c r="Z51" i="1"/>
  <c r="W51" i="1"/>
  <c r="W52" i="1" s="1"/>
  <c r="W56" i="1" s="1"/>
  <c r="W134" i="1" s="1"/>
  <c r="T51" i="1"/>
  <c r="T52" i="1" s="1"/>
  <c r="T56" i="1" s="1"/>
  <c r="T134" i="1" s="1"/>
  <c r="Q51" i="1"/>
  <c r="N51" i="1"/>
  <c r="H51" i="1"/>
  <c r="E51" i="1"/>
  <c r="B51" i="1"/>
  <c r="AL50" i="1"/>
  <c r="AK50" i="1"/>
  <c r="AJ50" i="1"/>
  <c r="AG50" i="1"/>
  <c r="AH50" i="1" s="1"/>
  <c r="AE50" i="1"/>
  <c r="AD50" i="1"/>
  <c r="AB50" i="1"/>
  <c r="AA50" i="1"/>
  <c r="X50" i="1"/>
  <c r="Y50" i="1" s="1"/>
  <c r="V50" i="1"/>
  <c r="U50" i="1"/>
  <c r="R50" i="1"/>
  <c r="S50" i="1" s="1"/>
  <c r="P50" i="1"/>
  <c r="O50" i="1"/>
  <c r="M50" i="1"/>
  <c r="L50" i="1"/>
  <c r="I50" i="1"/>
  <c r="G50" i="1"/>
  <c r="F50" i="1"/>
  <c r="C50" i="1"/>
  <c r="D50" i="1" s="1"/>
  <c r="AL49" i="1"/>
  <c r="AJ49" i="1"/>
  <c r="AK49" i="1" s="1"/>
  <c r="AH49" i="1"/>
  <c r="AG49" i="1"/>
  <c r="AD49" i="1"/>
  <c r="AE49" i="1" s="1"/>
  <c r="AB49" i="1"/>
  <c r="AA49" i="1"/>
  <c r="X49" i="1"/>
  <c r="Y49" i="1" s="1"/>
  <c r="U49" i="1"/>
  <c r="V49" i="1" s="1"/>
  <c r="S49" i="1"/>
  <c r="R49" i="1"/>
  <c r="O49" i="1"/>
  <c r="P49" i="1" s="1"/>
  <c r="M49" i="1"/>
  <c r="L49" i="1"/>
  <c r="L51" i="1" s="1"/>
  <c r="J49" i="1"/>
  <c r="I49" i="1"/>
  <c r="F49" i="1"/>
  <c r="G49" i="1" s="1"/>
  <c r="D49" i="1"/>
  <c r="C49" i="1"/>
  <c r="AL48" i="1"/>
  <c r="AJ48" i="1"/>
  <c r="AK48" i="1" s="1"/>
  <c r="AH48" i="1"/>
  <c r="AG48" i="1"/>
  <c r="AD48" i="1"/>
  <c r="AE48" i="1" s="1"/>
  <c r="AB48" i="1"/>
  <c r="AA48" i="1"/>
  <c r="X48" i="1"/>
  <c r="Y48" i="1" s="1"/>
  <c r="U48" i="1"/>
  <c r="V48" i="1" s="1"/>
  <c r="S48" i="1"/>
  <c r="R48" i="1"/>
  <c r="O48" i="1"/>
  <c r="P48" i="1" s="1"/>
  <c r="M48" i="1"/>
  <c r="L48" i="1"/>
  <c r="I48" i="1"/>
  <c r="J48" i="1" s="1"/>
  <c r="F48" i="1"/>
  <c r="D48" i="1"/>
  <c r="C48" i="1"/>
  <c r="AJ47" i="1"/>
  <c r="AK47" i="1" s="1"/>
  <c r="AG47" i="1"/>
  <c r="AH47" i="1" s="1"/>
  <c r="AD47" i="1"/>
  <c r="AE47" i="1" s="1"/>
  <c r="AA47" i="1"/>
  <c r="AB47" i="1" s="1"/>
  <c r="Y47" i="1"/>
  <c r="X47" i="1"/>
  <c r="U47" i="1"/>
  <c r="V47" i="1" s="1"/>
  <c r="R47" i="1"/>
  <c r="S47" i="1" s="1"/>
  <c r="O47" i="1"/>
  <c r="P47" i="1" s="1"/>
  <c r="L47" i="1"/>
  <c r="K47" i="1"/>
  <c r="J47" i="1"/>
  <c r="I47" i="1"/>
  <c r="G47" i="1"/>
  <c r="F47" i="1"/>
  <c r="C47" i="1"/>
  <c r="AL46" i="1"/>
  <c r="AK46" i="1"/>
  <c r="AJ46" i="1"/>
  <c r="AG46" i="1"/>
  <c r="AH46" i="1" s="1"/>
  <c r="AE46" i="1"/>
  <c r="AD46" i="1"/>
  <c r="AA46" i="1"/>
  <c r="AB46" i="1" s="1"/>
  <c r="X46" i="1"/>
  <c r="Y46" i="1" s="1"/>
  <c r="V46" i="1"/>
  <c r="U46" i="1"/>
  <c r="R46" i="1"/>
  <c r="S46" i="1" s="1"/>
  <c r="O46" i="1"/>
  <c r="P46" i="1" s="1"/>
  <c r="M46" i="1"/>
  <c r="L46" i="1"/>
  <c r="I46" i="1"/>
  <c r="J46" i="1" s="1"/>
  <c r="G46" i="1"/>
  <c r="F46" i="1"/>
  <c r="C46" i="1"/>
  <c r="AL45" i="1"/>
  <c r="AK45" i="1"/>
  <c r="AJ45" i="1"/>
  <c r="AH45" i="1"/>
  <c r="AG45" i="1"/>
  <c r="AE45" i="1"/>
  <c r="AD45" i="1"/>
  <c r="AA45" i="1"/>
  <c r="AB45" i="1" s="1"/>
  <c r="X45" i="1"/>
  <c r="Y45" i="1" s="1"/>
  <c r="V45" i="1"/>
  <c r="U45" i="1"/>
  <c r="S45" i="1"/>
  <c r="R45" i="1"/>
  <c r="P45" i="1"/>
  <c r="O45" i="1"/>
  <c r="L45" i="1"/>
  <c r="M45" i="1" s="1"/>
  <c r="I45" i="1"/>
  <c r="AM45" i="1" s="1"/>
  <c r="AN45" i="1" s="1"/>
  <c r="G45" i="1"/>
  <c r="F45" i="1"/>
  <c r="D45" i="1"/>
  <c r="C45" i="1"/>
  <c r="AL44" i="1"/>
  <c r="AK44" i="1"/>
  <c r="AJ44" i="1"/>
  <c r="AG44" i="1"/>
  <c r="AH44" i="1" s="1"/>
  <c r="AD44" i="1"/>
  <c r="AE44" i="1" s="1"/>
  <c r="AB44" i="1"/>
  <c r="AA44" i="1"/>
  <c r="X44" i="1"/>
  <c r="Y44" i="1" s="1"/>
  <c r="U44" i="1"/>
  <c r="V44" i="1" s="1"/>
  <c r="S44" i="1"/>
  <c r="R44" i="1"/>
  <c r="O44" i="1"/>
  <c r="P44" i="1" s="1"/>
  <c r="M44" i="1"/>
  <c r="L44" i="1"/>
  <c r="I44" i="1"/>
  <c r="J44" i="1" s="1"/>
  <c r="G44" i="1"/>
  <c r="F44" i="1"/>
  <c r="C44" i="1"/>
  <c r="AL43" i="1"/>
  <c r="AK43" i="1"/>
  <c r="AJ43" i="1"/>
  <c r="AG43" i="1"/>
  <c r="AE43" i="1"/>
  <c r="AD43" i="1"/>
  <c r="AB43" i="1"/>
  <c r="AA43" i="1"/>
  <c r="Y43" i="1"/>
  <c r="X43" i="1"/>
  <c r="V43" i="1"/>
  <c r="U43" i="1"/>
  <c r="R43" i="1"/>
  <c r="S43" i="1" s="1"/>
  <c r="O43" i="1"/>
  <c r="P43" i="1" s="1"/>
  <c r="M43" i="1"/>
  <c r="L43" i="1"/>
  <c r="J43" i="1"/>
  <c r="I43" i="1"/>
  <c r="G43" i="1"/>
  <c r="F43" i="1"/>
  <c r="C43" i="1"/>
  <c r="AL42" i="1"/>
  <c r="AJ42" i="1"/>
  <c r="AK42" i="1" s="1"/>
  <c r="AH42" i="1"/>
  <c r="AG42" i="1"/>
  <c r="AD42" i="1"/>
  <c r="AE42" i="1" s="1"/>
  <c r="AA42" i="1"/>
  <c r="X42" i="1"/>
  <c r="X51" i="1" s="1"/>
  <c r="Y51" i="1" s="1"/>
  <c r="U42" i="1"/>
  <c r="S42" i="1"/>
  <c r="R42" i="1"/>
  <c r="O42" i="1"/>
  <c r="L42" i="1"/>
  <c r="M42" i="1" s="1"/>
  <c r="I42" i="1"/>
  <c r="J42" i="1" s="1"/>
  <c r="F42" i="1"/>
  <c r="D42" i="1"/>
  <c r="C42" i="1"/>
  <c r="AK41" i="1"/>
  <c r="AJ41" i="1"/>
  <c r="AH41" i="1"/>
  <c r="AG41" i="1"/>
  <c r="AD41" i="1"/>
  <c r="AB41" i="1"/>
  <c r="AA41" i="1"/>
  <c r="X41" i="1"/>
  <c r="V41" i="1"/>
  <c r="U41" i="1"/>
  <c r="S41" i="1"/>
  <c r="R41" i="1"/>
  <c r="O41" i="1"/>
  <c r="L41" i="1"/>
  <c r="M41" i="1" s="1"/>
  <c r="K41" i="1"/>
  <c r="I41" i="1"/>
  <c r="H41" i="1"/>
  <c r="H52" i="1" s="1"/>
  <c r="F41" i="1"/>
  <c r="E41" i="1"/>
  <c r="E52" i="1" s="1"/>
  <c r="E56" i="1" s="1"/>
  <c r="E134" i="1" s="1"/>
  <c r="D41" i="1"/>
  <c r="C41" i="1"/>
  <c r="B41" i="1"/>
  <c r="AN40" i="1"/>
  <c r="AM40" i="1"/>
  <c r="AL40" i="1"/>
  <c r="AK40" i="1"/>
  <c r="AH40" i="1"/>
  <c r="AE40" i="1"/>
  <c r="AB40" i="1"/>
  <c r="Y40" i="1"/>
  <c r="V40" i="1"/>
  <c r="S40" i="1"/>
  <c r="P40" i="1"/>
  <c r="M40" i="1"/>
  <c r="J40" i="1"/>
  <c r="G40" i="1"/>
  <c r="D40" i="1"/>
  <c r="AM39" i="1"/>
  <c r="AN39" i="1" s="1"/>
  <c r="AL39" i="1"/>
  <c r="AK39" i="1"/>
  <c r="AH39" i="1"/>
  <c r="AE39" i="1"/>
  <c r="AB39" i="1"/>
  <c r="Y39" i="1"/>
  <c r="V39" i="1"/>
  <c r="S39" i="1"/>
  <c r="P39" i="1"/>
  <c r="M39" i="1"/>
  <c r="J39" i="1"/>
  <c r="G39" i="1"/>
  <c r="D39" i="1"/>
  <c r="AJ35" i="1"/>
  <c r="AK35" i="1" s="1"/>
  <c r="AI35" i="1"/>
  <c r="AF35" i="1"/>
  <c r="AE35" i="1"/>
  <c r="AC35" i="1"/>
  <c r="Z35" i="1"/>
  <c r="W35" i="1"/>
  <c r="U35" i="1"/>
  <c r="V35" i="1" s="1"/>
  <c r="T35" i="1"/>
  <c r="R35" i="1"/>
  <c r="Q35" i="1"/>
  <c r="N35" i="1"/>
  <c r="H35" i="1"/>
  <c r="F35" i="1"/>
  <c r="G35" i="1" s="1"/>
  <c r="E35" i="1"/>
  <c r="B35" i="1"/>
  <c r="AL34" i="1"/>
  <c r="AJ34" i="1"/>
  <c r="AK34" i="1" s="1"/>
  <c r="AG34" i="1"/>
  <c r="AH34" i="1" s="1"/>
  <c r="AE34" i="1"/>
  <c r="AD34" i="1"/>
  <c r="AA34" i="1"/>
  <c r="AB34" i="1" s="1"/>
  <c r="X34" i="1"/>
  <c r="Y34" i="1" s="1"/>
  <c r="U34" i="1"/>
  <c r="V34" i="1" s="1"/>
  <c r="R34" i="1"/>
  <c r="S34" i="1" s="1"/>
  <c r="O34" i="1"/>
  <c r="O35" i="1" s="1"/>
  <c r="L34" i="1"/>
  <c r="M34" i="1" s="1"/>
  <c r="I34" i="1"/>
  <c r="J34" i="1" s="1"/>
  <c r="F34" i="1"/>
  <c r="G34" i="1" s="1"/>
  <c r="C34" i="1"/>
  <c r="D34" i="1" s="1"/>
  <c r="AL33" i="1"/>
  <c r="AK33" i="1"/>
  <c r="AJ33" i="1"/>
  <c r="AG33" i="1"/>
  <c r="AH33" i="1" s="1"/>
  <c r="AD33" i="1"/>
  <c r="AE33" i="1" s="1"/>
  <c r="AA33" i="1"/>
  <c r="AB33" i="1" s="1"/>
  <c r="Y33" i="1"/>
  <c r="X33" i="1"/>
  <c r="V33" i="1"/>
  <c r="U33" i="1"/>
  <c r="R33" i="1"/>
  <c r="S33" i="1" s="1"/>
  <c r="P33" i="1"/>
  <c r="O33" i="1"/>
  <c r="L33" i="1"/>
  <c r="M33" i="1" s="1"/>
  <c r="K33" i="1"/>
  <c r="K35" i="1" s="1"/>
  <c r="I33" i="1"/>
  <c r="J33" i="1" s="1"/>
  <c r="F33" i="1"/>
  <c r="G33" i="1" s="1"/>
  <c r="E33" i="1"/>
  <c r="C33" i="1"/>
  <c r="D33" i="1" s="1"/>
  <c r="B33" i="1"/>
  <c r="AL32" i="1"/>
  <c r="AK32" i="1"/>
  <c r="AJ32" i="1"/>
  <c r="AG32" i="1"/>
  <c r="AD32" i="1"/>
  <c r="AE32" i="1" s="1"/>
  <c r="AB32" i="1"/>
  <c r="AA32" i="1"/>
  <c r="X32" i="1"/>
  <c r="Y32" i="1" s="1"/>
  <c r="V32" i="1"/>
  <c r="U32" i="1"/>
  <c r="R32" i="1"/>
  <c r="S32" i="1" s="1"/>
  <c r="P32" i="1"/>
  <c r="O32" i="1"/>
  <c r="L32" i="1"/>
  <c r="M32" i="1" s="1"/>
  <c r="I32" i="1"/>
  <c r="J32" i="1" s="1"/>
  <c r="G32" i="1"/>
  <c r="F32" i="1"/>
  <c r="C32" i="1"/>
  <c r="AL31" i="1"/>
  <c r="AJ31" i="1"/>
  <c r="AK31" i="1" s="1"/>
  <c r="AG31" i="1"/>
  <c r="AH31" i="1" s="1"/>
  <c r="AD31" i="1"/>
  <c r="AD35" i="1" s="1"/>
  <c r="AA31" i="1"/>
  <c r="Y31" i="1"/>
  <c r="X31" i="1"/>
  <c r="X35" i="1" s="1"/>
  <c r="Y35" i="1" s="1"/>
  <c r="U31" i="1"/>
  <c r="V31" i="1" s="1"/>
  <c r="S31" i="1"/>
  <c r="R31" i="1"/>
  <c r="O31" i="1"/>
  <c r="P31" i="1" s="1"/>
  <c r="L31" i="1"/>
  <c r="I31" i="1"/>
  <c r="G31" i="1"/>
  <c r="F31" i="1"/>
  <c r="C31" i="1"/>
  <c r="AI30" i="1"/>
  <c r="AH30" i="1"/>
  <c r="AG30" i="1"/>
  <c r="AF30" i="1"/>
  <c r="AC30" i="1"/>
  <c r="Z30" i="1"/>
  <c r="W30" i="1"/>
  <c r="W36" i="1" s="1"/>
  <c r="W37" i="1" s="1"/>
  <c r="W135" i="1" s="1"/>
  <c r="W136" i="1" s="1"/>
  <c r="T30" i="1"/>
  <c r="Q30" i="1"/>
  <c r="N30" i="1"/>
  <c r="K30" i="1"/>
  <c r="H30" i="1"/>
  <c r="E30" i="1"/>
  <c r="B30" i="1"/>
  <c r="AL29" i="1"/>
  <c r="AJ29" i="1"/>
  <c r="AJ30" i="1" s="1"/>
  <c r="AK30" i="1" s="1"/>
  <c r="AG29" i="1"/>
  <c r="AH29" i="1" s="1"/>
  <c r="AE29" i="1"/>
  <c r="AD29" i="1"/>
  <c r="AA29" i="1"/>
  <c r="AB29" i="1" s="1"/>
  <c r="X29" i="1"/>
  <c r="Y29" i="1" s="1"/>
  <c r="U29" i="1"/>
  <c r="V29" i="1" s="1"/>
  <c r="S29" i="1"/>
  <c r="R29" i="1"/>
  <c r="O29" i="1"/>
  <c r="P29" i="1" s="1"/>
  <c r="L29" i="1"/>
  <c r="M29" i="1" s="1"/>
  <c r="I29" i="1"/>
  <c r="J29" i="1" s="1"/>
  <c r="F29" i="1"/>
  <c r="G29" i="1" s="1"/>
  <c r="C29" i="1"/>
  <c r="AL28" i="1"/>
  <c r="AJ28" i="1"/>
  <c r="AK28" i="1" s="1"/>
  <c r="AG28" i="1"/>
  <c r="AH28" i="1" s="1"/>
  <c r="AD28" i="1"/>
  <c r="AE28" i="1" s="1"/>
  <c r="AB28" i="1"/>
  <c r="AA28" i="1"/>
  <c r="X28" i="1"/>
  <c r="Y28" i="1" s="1"/>
  <c r="U28" i="1"/>
  <c r="V28" i="1" s="1"/>
  <c r="R28" i="1"/>
  <c r="S28" i="1" s="1"/>
  <c r="O28" i="1"/>
  <c r="P28" i="1" s="1"/>
  <c r="M28" i="1"/>
  <c r="L28" i="1"/>
  <c r="I28" i="1"/>
  <c r="J28" i="1" s="1"/>
  <c r="F28" i="1"/>
  <c r="G28" i="1" s="1"/>
  <c r="C28" i="1"/>
  <c r="D28" i="1" s="1"/>
  <c r="AL27" i="1"/>
  <c r="AJ27" i="1"/>
  <c r="AK27" i="1" s="1"/>
  <c r="AH27" i="1"/>
  <c r="AG27" i="1"/>
  <c r="AD27" i="1"/>
  <c r="AA27" i="1"/>
  <c r="Y27" i="1"/>
  <c r="X27" i="1"/>
  <c r="U27" i="1"/>
  <c r="V27" i="1" s="1"/>
  <c r="S27" i="1"/>
  <c r="R27" i="1"/>
  <c r="O27" i="1"/>
  <c r="L27" i="1"/>
  <c r="M27" i="1" s="1"/>
  <c r="J27" i="1"/>
  <c r="I27" i="1"/>
  <c r="H27" i="1"/>
  <c r="F27" i="1"/>
  <c r="E27" i="1"/>
  <c r="C27" i="1"/>
  <c r="AL26" i="1"/>
  <c r="AK26" i="1"/>
  <c r="AJ26" i="1"/>
  <c r="AG26" i="1"/>
  <c r="AH26" i="1" s="1"/>
  <c r="AD26" i="1"/>
  <c r="AE26" i="1" s="1"/>
  <c r="AA26" i="1"/>
  <c r="AB26" i="1" s="1"/>
  <c r="Y26" i="1"/>
  <c r="X26" i="1"/>
  <c r="V26" i="1"/>
  <c r="U26" i="1"/>
  <c r="R26" i="1"/>
  <c r="S26" i="1" s="1"/>
  <c r="O26" i="1"/>
  <c r="P26" i="1" s="1"/>
  <c r="L26" i="1"/>
  <c r="M26" i="1" s="1"/>
  <c r="J26" i="1"/>
  <c r="I26" i="1"/>
  <c r="AM26" i="1" s="1"/>
  <c r="AN26" i="1" s="1"/>
  <c r="G26" i="1"/>
  <c r="F26" i="1"/>
  <c r="C26" i="1"/>
  <c r="D26" i="1" s="1"/>
  <c r="AJ25" i="1"/>
  <c r="AK25" i="1" s="1"/>
  <c r="AI25" i="1"/>
  <c r="AF25" i="1"/>
  <c r="AC25" i="1"/>
  <c r="Z25" i="1"/>
  <c r="W25" i="1"/>
  <c r="T25" i="1"/>
  <c r="Q25" i="1"/>
  <c r="O25" i="1"/>
  <c r="P25" i="1" s="1"/>
  <c r="N25" i="1"/>
  <c r="N36" i="1" s="1"/>
  <c r="N37" i="1" s="1"/>
  <c r="K25" i="1"/>
  <c r="H25" i="1"/>
  <c r="E25" i="1"/>
  <c r="B25" i="1"/>
  <c r="AL24" i="1"/>
  <c r="AJ24" i="1"/>
  <c r="AK24" i="1" s="1"/>
  <c r="AH24" i="1"/>
  <c r="AG24" i="1"/>
  <c r="AE24" i="1"/>
  <c r="AD24" i="1"/>
  <c r="AA24" i="1"/>
  <c r="AB24" i="1" s="1"/>
  <c r="X24" i="1"/>
  <c r="Y24" i="1" s="1"/>
  <c r="U24" i="1"/>
  <c r="V24" i="1" s="1"/>
  <c r="R24" i="1"/>
  <c r="S24" i="1" s="1"/>
  <c r="P24" i="1"/>
  <c r="O24" i="1"/>
  <c r="L24" i="1"/>
  <c r="M24" i="1" s="1"/>
  <c r="I24" i="1"/>
  <c r="J24" i="1" s="1"/>
  <c r="F24" i="1"/>
  <c r="G24" i="1" s="1"/>
  <c r="C24" i="1"/>
  <c r="AL23" i="1"/>
  <c r="AK23" i="1"/>
  <c r="AJ23" i="1"/>
  <c r="AG23" i="1"/>
  <c r="AH23" i="1" s="1"/>
  <c r="AD23" i="1"/>
  <c r="AE23" i="1" s="1"/>
  <c r="AA23" i="1"/>
  <c r="AB23" i="1" s="1"/>
  <c r="X23" i="1"/>
  <c r="Y23" i="1" s="1"/>
  <c r="V23" i="1"/>
  <c r="U23" i="1"/>
  <c r="R23" i="1"/>
  <c r="S23" i="1" s="1"/>
  <c r="O23" i="1"/>
  <c r="P23" i="1" s="1"/>
  <c r="L23" i="1"/>
  <c r="M23" i="1" s="1"/>
  <c r="I23" i="1"/>
  <c r="J23" i="1" s="1"/>
  <c r="G23" i="1"/>
  <c r="F23" i="1"/>
  <c r="C23" i="1"/>
  <c r="D23" i="1" s="1"/>
  <c r="AL22" i="1"/>
  <c r="AK22" i="1"/>
  <c r="AJ22" i="1"/>
  <c r="AG22" i="1"/>
  <c r="AH22" i="1" s="1"/>
  <c r="AD22" i="1"/>
  <c r="AE22" i="1" s="1"/>
  <c r="AA22" i="1"/>
  <c r="AB22" i="1" s="1"/>
  <c r="Y22" i="1"/>
  <c r="X22" i="1"/>
  <c r="V22" i="1"/>
  <c r="U22" i="1"/>
  <c r="R22" i="1"/>
  <c r="S22" i="1" s="1"/>
  <c r="O22" i="1"/>
  <c r="P22" i="1" s="1"/>
  <c r="L22" i="1"/>
  <c r="M22" i="1" s="1"/>
  <c r="J22" i="1"/>
  <c r="I22" i="1"/>
  <c r="AM22" i="1" s="1"/>
  <c r="AN22" i="1" s="1"/>
  <c r="G22" i="1"/>
  <c r="F22" i="1"/>
  <c r="C22" i="1"/>
  <c r="D22" i="1" s="1"/>
  <c r="AL21" i="1"/>
  <c r="AJ21" i="1"/>
  <c r="AK21" i="1" s="1"/>
  <c r="AG21" i="1"/>
  <c r="AH21" i="1" s="1"/>
  <c r="AD21" i="1"/>
  <c r="AE21" i="1" s="1"/>
  <c r="AB21" i="1"/>
  <c r="AA21" i="1"/>
  <c r="X21" i="1"/>
  <c r="Y21" i="1" s="1"/>
  <c r="U21" i="1"/>
  <c r="V21" i="1" s="1"/>
  <c r="R21" i="1"/>
  <c r="S21" i="1" s="1"/>
  <c r="O21" i="1"/>
  <c r="P21" i="1" s="1"/>
  <c r="M21" i="1"/>
  <c r="L21" i="1"/>
  <c r="I21" i="1"/>
  <c r="J21" i="1" s="1"/>
  <c r="F21" i="1"/>
  <c r="G21" i="1" s="1"/>
  <c r="C21" i="1"/>
  <c r="AL20" i="1"/>
  <c r="AJ20" i="1"/>
  <c r="AK20" i="1" s="1"/>
  <c r="AG20" i="1"/>
  <c r="AH20" i="1" s="1"/>
  <c r="AD20" i="1"/>
  <c r="AE20" i="1" s="1"/>
  <c r="AB20" i="1"/>
  <c r="AA20" i="1"/>
  <c r="X20" i="1"/>
  <c r="Y20" i="1" s="1"/>
  <c r="U20" i="1"/>
  <c r="V20" i="1" s="1"/>
  <c r="R20" i="1"/>
  <c r="R25" i="1" s="1"/>
  <c r="S25" i="1" s="1"/>
  <c r="P20" i="1"/>
  <c r="O20" i="1"/>
  <c r="M20" i="1"/>
  <c r="L20" i="1"/>
  <c r="I20" i="1"/>
  <c r="J20" i="1" s="1"/>
  <c r="F20" i="1"/>
  <c r="G20" i="1" s="1"/>
  <c r="C20" i="1"/>
  <c r="D20" i="1" s="1"/>
  <c r="AL19" i="1"/>
  <c r="AJ19" i="1"/>
  <c r="AK19" i="1" s="1"/>
  <c r="AH19" i="1"/>
  <c r="AG19" i="1"/>
  <c r="AD19" i="1"/>
  <c r="AA19" i="1"/>
  <c r="X19" i="1"/>
  <c r="Y19" i="1" s="1"/>
  <c r="U19" i="1"/>
  <c r="V19" i="1" s="1"/>
  <c r="S19" i="1"/>
  <c r="R19" i="1"/>
  <c r="O19" i="1"/>
  <c r="P19" i="1" s="1"/>
  <c r="L19" i="1"/>
  <c r="I19" i="1"/>
  <c r="J19" i="1" s="1"/>
  <c r="F19" i="1"/>
  <c r="G19" i="1" s="1"/>
  <c r="D19" i="1"/>
  <c r="C19" i="1"/>
  <c r="AL18" i="1"/>
  <c r="AJ18" i="1"/>
  <c r="AK18" i="1" s="1"/>
  <c r="AH18" i="1"/>
  <c r="AG18" i="1"/>
  <c r="AD18" i="1"/>
  <c r="AE18" i="1" s="1"/>
  <c r="AA18" i="1"/>
  <c r="AB18" i="1" s="1"/>
  <c r="X18" i="1"/>
  <c r="Y18" i="1" s="1"/>
  <c r="U18" i="1"/>
  <c r="V18" i="1" s="1"/>
  <c r="S18" i="1"/>
  <c r="R18" i="1"/>
  <c r="O18" i="1"/>
  <c r="P18" i="1" s="1"/>
  <c r="L18" i="1"/>
  <c r="M18" i="1" s="1"/>
  <c r="I18" i="1"/>
  <c r="J18" i="1" s="1"/>
  <c r="F18" i="1"/>
  <c r="G18" i="1" s="1"/>
  <c r="D18" i="1"/>
  <c r="C18" i="1"/>
  <c r="AL17" i="1"/>
  <c r="AJ17" i="1"/>
  <c r="AK17" i="1" s="1"/>
  <c r="AH17" i="1"/>
  <c r="AG17" i="1"/>
  <c r="AE17" i="1"/>
  <c r="AD17" i="1"/>
  <c r="AA17" i="1"/>
  <c r="AB17" i="1" s="1"/>
  <c r="Y17" i="1"/>
  <c r="X17" i="1"/>
  <c r="U17" i="1"/>
  <c r="V17" i="1" s="1"/>
  <c r="R17" i="1"/>
  <c r="S17" i="1" s="1"/>
  <c r="P17" i="1"/>
  <c r="O17" i="1"/>
  <c r="L17" i="1"/>
  <c r="M17" i="1" s="1"/>
  <c r="J17" i="1"/>
  <c r="I17" i="1"/>
  <c r="F17" i="1"/>
  <c r="G17" i="1" s="1"/>
  <c r="C17" i="1"/>
  <c r="D17" i="1" s="1"/>
  <c r="T16" i="1"/>
  <c r="T36" i="1" s="1"/>
  <c r="T37" i="1" s="1"/>
  <c r="T135" i="1" s="1"/>
  <c r="T136" i="1" s="1"/>
  <c r="AL15" i="1"/>
  <c r="AJ15" i="1"/>
  <c r="AK15" i="1" s="1"/>
  <c r="AH15" i="1"/>
  <c r="AG15" i="1"/>
  <c r="AD15" i="1"/>
  <c r="AE15" i="1" s="1"/>
  <c r="AA15" i="1"/>
  <c r="AB15" i="1" s="1"/>
  <c r="X15" i="1"/>
  <c r="Y15" i="1" s="1"/>
  <c r="U15" i="1"/>
  <c r="V15" i="1" s="1"/>
  <c r="S15" i="1"/>
  <c r="R15" i="1"/>
  <c r="O15" i="1"/>
  <c r="P15" i="1" s="1"/>
  <c r="M15" i="1"/>
  <c r="L15" i="1"/>
  <c r="I15" i="1"/>
  <c r="J15" i="1" s="1"/>
  <c r="F15" i="1"/>
  <c r="G15" i="1" s="1"/>
  <c r="D15" i="1"/>
  <c r="C15" i="1"/>
  <c r="AK14" i="1"/>
  <c r="AJ14" i="1"/>
  <c r="AH14" i="1"/>
  <c r="AG14" i="1"/>
  <c r="AD14" i="1"/>
  <c r="AE14" i="1" s="1"/>
  <c r="AA14" i="1"/>
  <c r="AB14" i="1" s="1"/>
  <c r="X14" i="1"/>
  <c r="Y14" i="1" s="1"/>
  <c r="V14" i="1"/>
  <c r="U14" i="1"/>
  <c r="S14" i="1"/>
  <c r="R14" i="1"/>
  <c r="O14" i="1"/>
  <c r="P14" i="1" s="1"/>
  <c r="L14" i="1"/>
  <c r="M14" i="1" s="1"/>
  <c r="K14" i="1"/>
  <c r="I14" i="1"/>
  <c r="H14" i="1"/>
  <c r="AL14" i="1" s="1"/>
  <c r="G14" i="1"/>
  <c r="F14" i="1"/>
  <c r="E14" i="1"/>
  <c r="D14" i="1"/>
  <c r="C14" i="1"/>
  <c r="B14" i="1"/>
  <c r="AG13" i="1"/>
  <c r="AC13" i="1"/>
  <c r="AC16" i="1" s="1"/>
  <c r="AC36" i="1" s="1"/>
  <c r="AC37" i="1" s="1"/>
  <c r="AC135" i="1" s="1"/>
  <c r="AC136" i="1" s="1"/>
  <c r="AA13" i="1"/>
  <c r="AA16" i="1" s="1"/>
  <c r="W13" i="1"/>
  <c r="W16" i="1" s="1"/>
  <c r="T13" i="1"/>
  <c r="Q13" i="1"/>
  <c r="Q16" i="1" s="1"/>
  <c r="N13" i="1"/>
  <c r="N16" i="1" s="1"/>
  <c r="AJ12" i="1"/>
  <c r="AK12" i="1" s="1"/>
  <c r="AI12" i="1"/>
  <c r="AI13" i="1" s="1"/>
  <c r="AI16" i="1" s="1"/>
  <c r="AI36" i="1" s="1"/>
  <c r="AI37" i="1" s="1"/>
  <c r="AI135" i="1" s="1"/>
  <c r="AI136" i="1" s="1"/>
  <c r="AF12" i="1"/>
  <c r="AF13" i="1" s="1"/>
  <c r="AF16" i="1" s="1"/>
  <c r="AF36" i="1" s="1"/>
  <c r="AF37" i="1" s="1"/>
  <c r="AC12" i="1"/>
  <c r="AA12" i="1"/>
  <c r="AB12" i="1" s="1"/>
  <c r="Z12" i="1"/>
  <c r="Z13" i="1" s="1"/>
  <c r="Z16" i="1" s="1"/>
  <c r="Z36" i="1" s="1"/>
  <c r="Z37" i="1" s="1"/>
  <c r="W12" i="1"/>
  <c r="T12" i="1"/>
  <c r="Q12" i="1"/>
  <c r="P12" i="1"/>
  <c r="O12" i="1"/>
  <c r="N12" i="1"/>
  <c r="L12" i="1"/>
  <c r="E12" i="1"/>
  <c r="B12" i="1"/>
  <c r="AJ11" i="1"/>
  <c r="AK11" i="1" s="1"/>
  <c r="AG11" i="1"/>
  <c r="AH11" i="1" s="1"/>
  <c r="AD11" i="1"/>
  <c r="AE11" i="1" s="1"/>
  <c r="AB11" i="1"/>
  <c r="AA11" i="1"/>
  <c r="X11" i="1"/>
  <c r="Y11" i="1" s="1"/>
  <c r="V11" i="1"/>
  <c r="U11" i="1"/>
  <c r="R11" i="1"/>
  <c r="R12" i="1" s="1"/>
  <c r="O11" i="1"/>
  <c r="P11" i="1" s="1"/>
  <c r="M11" i="1"/>
  <c r="L11" i="1"/>
  <c r="K11" i="1"/>
  <c r="I11" i="1"/>
  <c r="H11" i="1"/>
  <c r="AL11" i="1" s="1"/>
  <c r="G11" i="1"/>
  <c r="F11" i="1"/>
  <c r="E11" i="1"/>
  <c r="C11" i="1"/>
  <c r="AJ10" i="1"/>
  <c r="AK10" i="1" s="1"/>
  <c r="AG10" i="1"/>
  <c r="AG12" i="1" s="1"/>
  <c r="AD10" i="1"/>
  <c r="AD12" i="1" s="1"/>
  <c r="AE12" i="1" s="1"/>
  <c r="AB10" i="1"/>
  <c r="AA10" i="1"/>
  <c r="X10" i="1"/>
  <c r="Y10" i="1" s="1"/>
  <c r="U10" i="1"/>
  <c r="U12" i="1" s="1"/>
  <c r="V12" i="1" s="1"/>
  <c r="R10" i="1"/>
  <c r="S10" i="1" s="1"/>
  <c r="O10" i="1"/>
  <c r="P10" i="1" s="1"/>
  <c r="M10" i="1"/>
  <c r="L10" i="1"/>
  <c r="K10" i="1"/>
  <c r="K12" i="1" s="1"/>
  <c r="I10" i="1"/>
  <c r="H10" i="1"/>
  <c r="AL10" i="1" s="1"/>
  <c r="F10" i="1"/>
  <c r="F12" i="1" s="1"/>
  <c r="E10" i="1"/>
  <c r="C10" i="1"/>
  <c r="B10" i="1"/>
  <c r="AL9" i="1"/>
  <c r="AJ9" i="1"/>
  <c r="AK9" i="1" s="1"/>
  <c r="AH9" i="1"/>
  <c r="AG9" i="1"/>
  <c r="AD9" i="1"/>
  <c r="AA9" i="1"/>
  <c r="AB9" i="1" s="1"/>
  <c r="X9" i="1"/>
  <c r="V9" i="1"/>
  <c r="U9" i="1"/>
  <c r="S9" i="1"/>
  <c r="R9" i="1"/>
  <c r="O9" i="1"/>
  <c r="L9" i="1"/>
  <c r="L13" i="1" s="1"/>
  <c r="L16" i="1" s="1"/>
  <c r="K9" i="1"/>
  <c r="I9" i="1"/>
  <c r="AM9" i="1" s="1"/>
  <c r="AN9" i="1" s="1"/>
  <c r="H9" i="1"/>
  <c r="G9" i="1"/>
  <c r="F9" i="1"/>
  <c r="E9" i="1"/>
  <c r="D9" i="1"/>
  <c r="C9" i="1"/>
  <c r="B9" i="1"/>
  <c r="B13" i="1" s="1"/>
  <c r="AM8" i="1"/>
  <c r="AN8" i="1" s="1"/>
  <c r="AL8" i="1"/>
  <c r="AK8" i="1"/>
  <c r="AH8" i="1"/>
  <c r="AE8" i="1"/>
  <c r="AB8" i="1"/>
  <c r="Y8" i="1"/>
  <c r="V8" i="1"/>
  <c r="S8" i="1"/>
  <c r="P8" i="1"/>
  <c r="M8" i="1"/>
  <c r="J8" i="1"/>
  <c r="G8" i="1"/>
  <c r="D8" i="1"/>
  <c r="G12" i="1" l="1"/>
  <c r="F13" i="1"/>
  <c r="L52" i="1"/>
  <c r="S12" i="1"/>
  <c r="R13" i="1"/>
  <c r="AF135" i="1"/>
  <c r="AF136" i="1" s="1"/>
  <c r="D43" i="1"/>
  <c r="C51" i="1"/>
  <c r="AB16" i="1"/>
  <c r="F25" i="1"/>
  <c r="G25" i="1" s="1"/>
  <c r="F30" i="1"/>
  <c r="G30" i="1" s="1"/>
  <c r="G27" i="1"/>
  <c r="AM11" i="1"/>
  <c r="AN11" i="1" s="1"/>
  <c r="D11" i="1"/>
  <c r="I13" i="1"/>
  <c r="X25" i="1"/>
  <c r="Y25" i="1" s="1"/>
  <c r="AM33" i="1"/>
  <c r="AN33" i="1" s="1"/>
  <c r="AM50" i="1"/>
  <c r="AN50" i="1" s="1"/>
  <c r="J50" i="1"/>
  <c r="I51" i="1"/>
  <c r="J51" i="1" s="1"/>
  <c r="AL60" i="1"/>
  <c r="B61" i="1"/>
  <c r="AL61" i="1" s="1"/>
  <c r="J9" i="1"/>
  <c r="AD13" i="1"/>
  <c r="AE9" i="1"/>
  <c r="G10" i="1"/>
  <c r="V10" i="1"/>
  <c r="S11" i="1"/>
  <c r="AB13" i="1"/>
  <c r="AM21" i="1"/>
  <c r="AN21" i="1" s="1"/>
  <c r="AA30" i="1"/>
  <c r="AB30" i="1" s="1"/>
  <c r="AB27" i="1"/>
  <c r="D32" i="1"/>
  <c r="AM32" i="1"/>
  <c r="AN32" i="1" s="1"/>
  <c r="P41" i="1"/>
  <c r="AM42" i="1"/>
  <c r="AN42" i="1" s="1"/>
  <c r="AH43" i="1"/>
  <c r="AG51" i="1"/>
  <c r="G48" i="1"/>
  <c r="AM48" i="1"/>
  <c r="AN48" i="1" s="1"/>
  <c r="AF134" i="1"/>
  <c r="V59" i="1"/>
  <c r="I72" i="1"/>
  <c r="J72" i="1" s="1"/>
  <c r="J63" i="1"/>
  <c r="AL89" i="1"/>
  <c r="K13" i="1"/>
  <c r="K16" i="1" s="1"/>
  <c r="K36" i="1" s="1"/>
  <c r="K37" i="1" s="1"/>
  <c r="AM15" i="1"/>
  <c r="AN15" i="1" s="1"/>
  <c r="AM19" i="1"/>
  <c r="AN19" i="1" s="1"/>
  <c r="D21" i="1"/>
  <c r="I30" i="1"/>
  <c r="J30" i="1" s="1"/>
  <c r="AK29" i="1"/>
  <c r="U30" i="1"/>
  <c r="V30" i="1" s="1"/>
  <c r="C35" i="1"/>
  <c r="D31" i="1"/>
  <c r="U51" i="1"/>
  <c r="V42" i="1"/>
  <c r="Z134" i="1"/>
  <c r="Z135" i="1" s="1"/>
  <c r="Z136" i="1" s="1"/>
  <c r="AM70" i="1"/>
  <c r="P70" i="1"/>
  <c r="D95" i="1"/>
  <c r="AL95" i="1"/>
  <c r="I12" i="1"/>
  <c r="J10" i="1"/>
  <c r="AG16" i="1"/>
  <c r="AH13" i="1"/>
  <c r="AM17" i="1"/>
  <c r="AN17" i="1" s="1"/>
  <c r="AK51" i="1"/>
  <c r="AJ52" i="1"/>
  <c r="M53" i="1"/>
  <c r="AM53" i="1"/>
  <c r="AB60" i="1"/>
  <c r="AA61" i="1"/>
  <c r="AB61" i="1" s="1"/>
  <c r="D72" i="1"/>
  <c r="Q36" i="1"/>
  <c r="Q37" i="1" s="1"/>
  <c r="Q135" i="1" s="1"/>
  <c r="Q136" i="1" s="1"/>
  <c r="AJ13" i="1"/>
  <c r="B16" i="1"/>
  <c r="AB31" i="1"/>
  <c r="AA35" i="1"/>
  <c r="AB35" i="1" s="1"/>
  <c r="Y42" i="1"/>
  <c r="AM79" i="1"/>
  <c r="AN79" i="1" s="1"/>
  <c r="D79" i="1"/>
  <c r="G82" i="1"/>
  <c r="AM82" i="1"/>
  <c r="AN82" i="1" s="1"/>
  <c r="F85" i="1"/>
  <c r="G85" i="1" s="1"/>
  <c r="S117" i="1"/>
  <c r="R119" i="1"/>
  <c r="S119" i="1" s="1"/>
  <c r="J11" i="1"/>
  <c r="AM14" i="1"/>
  <c r="AN14" i="1" s="1"/>
  <c r="I35" i="1"/>
  <c r="J35" i="1" s="1"/>
  <c r="AH32" i="1"/>
  <c r="AG35" i="1"/>
  <c r="AH35" i="1" s="1"/>
  <c r="S35" i="1"/>
  <c r="E13" i="1"/>
  <c r="E16" i="1" s="1"/>
  <c r="E36" i="1" s="1"/>
  <c r="E37" i="1" s="1"/>
  <c r="E135" i="1" s="1"/>
  <c r="E136" i="1" s="1"/>
  <c r="AA25" i="1"/>
  <c r="AB25" i="1" s="1"/>
  <c r="AB19" i="1"/>
  <c r="AM29" i="1"/>
  <c r="AN29" i="1" s="1"/>
  <c r="J31" i="1"/>
  <c r="X52" i="1"/>
  <c r="U13" i="1"/>
  <c r="AH10" i="1"/>
  <c r="M12" i="1"/>
  <c r="AD25" i="1"/>
  <c r="AE25" i="1" s="1"/>
  <c r="AM27" i="1"/>
  <c r="AN27" i="1" s="1"/>
  <c r="D29" i="1"/>
  <c r="L35" i="1"/>
  <c r="M35" i="1" s="1"/>
  <c r="P34" i="1"/>
  <c r="H56" i="1"/>
  <c r="AM66" i="1"/>
  <c r="AN66" i="1" s="1"/>
  <c r="D66" i="1"/>
  <c r="Y78" i="1"/>
  <c r="X80" i="1"/>
  <c r="Y80" i="1" s="1"/>
  <c r="AM47" i="1"/>
  <c r="D47" i="1"/>
  <c r="O13" i="1"/>
  <c r="P9" i="1"/>
  <c r="AL30" i="1"/>
  <c r="O30" i="1"/>
  <c r="P30" i="1" s="1"/>
  <c r="AM43" i="1"/>
  <c r="AN43" i="1" s="1"/>
  <c r="D57" i="1"/>
  <c r="AM57" i="1"/>
  <c r="AN57" i="1" s="1"/>
  <c r="AH12" i="1"/>
  <c r="H12" i="1"/>
  <c r="H13" i="1" s="1"/>
  <c r="AM18" i="1"/>
  <c r="AN18" i="1" s="1"/>
  <c r="I25" i="1"/>
  <c r="J25" i="1" s="1"/>
  <c r="P35" i="1"/>
  <c r="G42" i="1"/>
  <c r="F51" i="1"/>
  <c r="AL53" i="1"/>
  <c r="D53" i="1"/>
  <c r="R72" i="1"/>
  <c r="S72" i="1" s="1"/>
  <c r="U25" i="1"/>
  <c r="V25" i="1" s="1"/>
  <c r="C30" i="1"/>
  <c r="L30" i="1"/>
  <c r="M30" i="1" s="1"/>
  <c r="P59" i="1"/>
  <c r="O61" i="1"/>
  <c r="P61" i="1" s="1"/>
  <c r="AM63" i="1"/>
  <c r="AN63" i="1" s="1"/>
  <c r="D63" i="1"/>
  <c r="AM65" i="1"/>
  <c r="J87" i="1"/>
  <c r="I89" i="1"/>
  <c r="J89" i="1" s="1"/>
  <c r="L80" i="1"/>
  <c r="M80" i="1" s="1"/>
  <c r="M77" i="1"/>
  <c r="AJ80" i="1"/>
  <c r="AK80" i="1" s="1"/>
  <c r="G83" i="1"/>
  <c r="AM83" i="1"/>
  <c r="AN83" i="1" s="1"/>
  <c r="J14" i="1"/>
  <c r="AM10" i="1"/>
  <c r="AN10" i="1" s="1"/>
  <c r="C12" i="1"/>
  <c r="D10" i="1"/>
  <c r="L25" i="1"/>
  <c r="M25" i="1" s="1"/>
  <c r="AM24" i="1"/>
  <c r="AN24" i="1" s="1"/>
  <c r="AL35" i="1"/>
  <c r="Y9" i="1"/>
  <c r="X13" i="1"/>
  <c r="M19" i="1"/>
  <c r="D24" i="1"/>
  <c r="AL25" i="1"/>
  <c r="X30" i="1"/>
  <c r="Y30" i="1" s="1"/>
  <c r="AM31" i="1"/>
  <c r="AN31" i="1" s="1"/>
  <c r="AE41" i="1"/>
  <c r="P42" i="1"/>
  <c r="O51" i="1"/>
  <c r="P51" i="1" s="1"/>
  <c r="AL59" i="1"/>
  <c r="G61" i="1"/>
  <c r="AA72" i="1"/>
  <c r="AB72" i="1" s="1"/>
  <c r="J78" i="1"/>
  <c r="AE78" i="1"/>
  <c r="AD80" i="1"/>
  <c r="AE80" i="1" s="1"/>
  <c r="AM129" i="1"/>
  <c r="AN129" i="1" s="1"/>
  <c r="D129" i="1"/>
  <c r="AM28" i="1"/>
  <c r="AN28" i="1" s="1"/>
  <c r="R51" i="1"/>
  <c r="S51" i="1" s="1"/>
  <c r="J53" i="1"/>
  <c r="J65" i="1"/>
  <c r="M84" i="1"/>
  <c r="G89" i="1"/>
  <c r="D98" i="1"/>
  <c r="AM98" i="1"/>
  <c r="AN98" i="1" s="1"/>
  <c r="B101" i="1"/>
  <c r="Y101" i="1"/>
  <c r="S106" i="1"/>
  <c r="U116" i="1"/>
  <c r="V116" i="1" s="1"/>
  <c r="V107" i="1"/>
  <c r="C133" i="1"/>
  <c r="D102" i="1"/>
  <c r="AL102" i="1"/>
  <c r="AM103" i="1"/>
  <c r="AN103" i="1" s="1"/>
  <c r="AM20" i="1"/>
  <c r="AN20" i="1" s="1"/>
  <c r="R30" i="1"/>
  <c r="S30" i="1" s="1"/>
  <c r="I52" i="1"/>
  <c r="AL41" i="1"/>
  <c r="AM44" i="1"/>
  <c r="AN44" i="1" s="1"/>
  <c r="B72" i="1"/>
  <c r="AL64" i="1"/>
  <c r="AE10" i="1"/>
  <c r="X12" i="1"/>
  <c r="Y12" i="1" s="1"/>
  <c r="AM23" i="1"/>
  <c r="AN23" i="1" s="1"/>
  <c r="C25" i="1"/>
  <c r="AG25" i="1"/>
  <c r="AH25" i="1" s="1"/>
  <c r="J41" i="1"/>
  <c r="Y41" i="1"/>
  <c r="AM41" i="1"/>
  <c r="AN41" i="1" s="1"/>
  <c r="D44" i="1"/>
  <c r="S59" i="1"/>
  <c r="AK59" i="1"/>
  <c r="L61" i="1"/>
  <c r="M61" i="1" s="1"/>
  <c r="M60" i="1"/>
  <c r="X61" i="1"/>
  <c r="Y61" i="1" s="1"/>
  <c r="X72" i="1"/>
  <c r="Y72" i="1" s="1"/>
  <c r="Y63" i="1"/>
  <c r="AM64" i="1"/>
  <c r="AN64" i="1" s="1"/>
  <c r="AM67" i="1"/>
  <c r="AN67" i="1" s="1"/>
  <c r="AG72" i="1"/>
  <c r="AH72" i="1" s="1"/>
  <c r="I80" i="1"/>
  <c r="J77" i="1"/>
  <c r="G79" i="1"/>
  <c r="F80" i="1"/>
  <c r="G80" i="1" s="1"/>
  <c r="Y82" i="1"/>
  <c r="U101" i="1"/>
  <c r="V101" i="1" s="1"/>
  <c r="V97" i="1"/>
  <c r="J130" i="1"/>
  <c r="I133" i="1"/>
  <c r="J133" i="1" s="1"/>
  <c r="Q134" i="1"/>
  <c r="I61" i="1"/>
  <c r="J61" i="1" s="1"/>
  <c r="AM60" i="1"/>
  <c r="AD72" i="1"/>
  <c r="AE72" i="1" s="1"/>
  <c r="G64" i="1"/>
  <c r="AL65" i="1"/>
  <c r="G67" i="1"/>
  <c r="AM90" i="1"/>
  <c r="AN90" i="1" s="1"/>
  <c r="AL80" i="1"/>
  <c r="AL77" i="1"/>
  <c r="L85" i="1"/>
  <c r="M85" i="1" s="1"/>
  <c r="AL84" i="1"/>
  <c r="AG89" i="1"/>
  <c r="AH89" i="1" s="1"/>
  <c r="AH87" i="1"/>
  <c r="J88" i="1"/>
  <c r="O116" i="1"/>
  <c r="J45" i="1"/>
  <c r="O72" i="1"/>
  <c r="P72" i="1" s="1"/>
  <c r="D65" i="1"/>
  <c r="J67" i="1"/>
  <c r="F72" i="1"/>
  <c r="G72" i="1" s="1"/>
  <c r="AM73" i="1"/>
  <c r="AN73" i="1" s="1"/>
  <c r="C80" i="1"/>
  <c r="AM77" i="1"/>
  <c r="AM84" i="1"/>
  <c r="AJ89" i="1"/>
  <c r="AK89" i="1" s="1"/>
  <c r="AM99" i="1"/>
  <c r="AN99" i="1" s="1"/>
  <c r="J99" i="1"/>
  <c r="P125" i="1"/>
  <c r="O133" i="1"/>
  <c r="P133" i="1" s="1"/>
  <c r="S20" i="1"/>
  <c r="AD30" i="1"/>
  <c r="AE30" i="1" s="1"/>
  <c r="M31" i="1"/>
  <c r="M47" i="1"/>
  <c r="AL51" i="1"/>
  <c r="B52" i="1"/>
  <c r="AE19" i="1"/>
  <c r="D27" i="1"/>
  <c r="P27" i="1"/>
  <c r="AE27" i="1"/>
  <c r="AD61" i="1"/>
  <c r="AE61" i="1" s="1"/>
  <c r="AE59" i="1"/>
  <c r="P63" i="1"/>
  <c r="D77" i="1"/>
  <c r="V77" i="1"/>
  <c r="U80" i="1"/>
  <c r="V80" i="1" s="1"/>
  <c r="AH79" i="1"/>
  <c r="O80" i="1"/>
  <c r="P80" i="1" s="1"/>
  <c r="AJ85" i="1"/>
  <c r="AK85" i="1" s="1"/>
  <c r="AK87" i="1"/>
  <c r="AM93" i="1"/>
  <c r="AN93" i="1" s="1"/>
  <c r="M102" i="1"/>
  <c r="N116" i="1"/>
  <c r="N134" i="1" s="1"/>
  <c r="N135" i="1" s="1"/>
  <c r="N136" i="1" s="1"/>
  <c r="AL106" i="1"/>
  <c r="P106" i="1"/>
  <c r="AL119" i="1"/>
  <c r="AM34" i="1"/>
  <c r="AN34" i="1" s="1"/>
  <c r="AA51" i="1"/>
  <c r="AL47" i="1"/>
  <c r="K51" i="1"/>
  <c r="K52" i="1" s="1"/>
  <c r="K56" i="1" s="1"/>
  <c r="J59" i="1"/>
  <c r="AE63" i="1"/>
  <c r="H72" i="1"/>
  <c r="G68" i="1"/>
  <c r="AB42" i="1"/>
  <c r="M9" i="1"/>
  <c r="G41" i="1"/>
  <c r="D46" i="1"/>
  <c r="AM46" i="1"/>
  <c r="AN46" i="1" s="1"/>
  <c r="AM49" i="1"/>
  <c r="AN49" i="1" s="1"/>
  <c r="AD51" i="1"/>
  <c r="AE51" i="1" s="1"/>
  <c r="AM54" i="1"/>
  <c r="AN54" i="1" s="1"/>
  <c r="AM59" i="1"/>
  <c r="C61" i="1"/>
  <c r="AG61" i="1"/>
  <c r="AH61" i="1" s="1"/>
  <c r="AJ72" i="1"/>
  <c r="AK72" i="1" s="1"/>
  <c r="G65" i="1"/>
  <c r="U85" i="1"/>
  <c r="V85" i="1" s="1"/>
  <c r="AL85" i="1"/>
  <c r="C89" i="1"/>
  <c r="AM87" i="1"/>
  <c r="U89" i="1"/>
  <c r="V89" i="1" s="1"/>
  <c r="V87" i="1"/>
  <c r="J93" i="1"/>
  <c r="AM104" i="1"/>
  <c r="AN104" i="1" s="1"/>
  <c r="AJ116" i="1"/>
  <c r="AK116" i="1" s="1"/>
  <c r="AM131" i="1"/>
  <c r="AN131" i="1" s="1"/>
  <c r="AA80" i="1"/>
  <c r="AB80" i="1" s="1"/>
  <c r="D78" i="1"/>
  <c r="AM78" i="1"/>
  <c r="AN78" i="1" s="1"/>
  <c r="AG85" i="1"/>
  <c r="AH85" i="1" s="1"/>
  <c r="AH82" i="1"/>
  <c r="AM88" i="1"/>
  <c r="AN88" i="1" s="1"/>
  <c r="M90" i="1"/>
  <c r="AJ101" i="1"/>
  <c r="AK101" i="1" s="1"/>
  <c r="AL107" i="1"/>
  <c r="M107" i="1"/>
  <c r="K116" i="1"/>
  <c r="AM112" i="1"/>
  <c r="AN112" i="1" s="1"/>
  <c r="AJ133" i="1"/>
  <c r="AK133" i="1" s="1"/>
  <c r="AK125" i="1"/>
  <c r="D60" i="1"/>
  <c r="L72" i="1"/>
  <c r="K72" i="1"/>
  <c r="AM71" i="1"/>
  <c r="AN71" i="1" s="1"/>
  <c r="AB77" i="1"/>
  <c r="R85" i="1"/>
  <c r="S85" i="1" s="1"/>
  <c r="S82" i="1"/>
  <c r="M83" i="1"/>
  <c r="M87" i="1"/>
  <c r="K89" i="1"/>
  <c r="AB89" i="1"/>
  <c r="AM92" i="1"/>
  <c r="AN92" i="1" s="1"/>
  <c r="AM97" i="1"/>
  <c r="AN97" i="1" s="1"/>
  <c r="R101" i="1"/>
  <c r="S101" i="1" s="1"/>
  <c r="AK97" i="1"/>
  <c r="AG116" i="1"/>
  <c r="AH116" i="1" s="1"/>
  <c r="AM111" i="1"/>
  <c r="AN111" i="1" s="1"/>
  <c r="J111" i="1"/>
  <c r="D112" i="1"/>
  <c r="AM113" i="1"/>
  <c r="AN113" i="1" s="1"/>
  <c r="C119" i="1"/>
  <c r="AM117" i="1"/>
  <c r="AN117" i="1" s="1"/>
  <c r="AM107" i="1"/>
  <c r="U72" i="1"/>
  <c r="V72" i="1" s="1"/>
  <c r="AL70" i="1"/>
  <c r="G70" i="1"/>
  <c r="AL87" i="1"/>
  <c r="AL91" i="1"/>
  <c r="O101" i="1"/>
  <c r="P101" i="1" s="1"/>
  <c r="AD101" i="1"/>
  <c r="AE101" i="1" s="1"/>
  <c r="AM102" i="1"/>
  <c r="AN102" i="1" s="1"/>
  <c r="L116" i="1"/>
  <c r="AA116" i="1"/>
  <c r="AB116" i="1" s="1"/>
  <c r="AD116" i="1"/>
  <c r="AE116" i="1" s="1"/>
  <c r="M118" i="1"/>
  <c r="AB118" i="1"/>
  <c r="AL121" i="1"/>
  <c r="AN121" i="1" s="1"/>
  <c r="AD133" i="1"/>
  <c r="AE133" i="1" s="1"/>
  <c r="AE31" i="1"/>
  <c r="V63" i="1"/>
  <c r="AK63" i="1"/>
  <c r="H80" i="1"/>
  <c r="D84" i="1"/>
  <c r="X89" i="1"/>
  <c r="Y89" i="1" s="1"/>
  <c r="AM91" i="1"/>
  <c r="AN91" i="1" s="1"/>
  <c r="D91" i="1"/>
  <c r="AG101" i="1"/>
  <c r="AH101" i="1" s="1"/>
  <c r="J98" i="1"/>
  <c r="AM105" i="1"/>
  <c r="AN105" i="1" s="1"/>
  <c r="AB106" i="1"/>
  <c r="AM108" i="1"/>
  <c r="AN108" i="1" s="1"/>
  <c r="AM109" i="1"/>
  <c r="AN109" i="1" s="1"/>
  <c r="AM115" i="1"/>
  <c r="AN115" i="1" s="1"/>
  <c r="U119" i="1"/>
  <c r="V119" i="1" s="1"/>
  <c r="AM122" i="1"/>
  <c r="AN122" i="1" s="1"/>
  <c r="G122" i="1"/>
  <c r="AE125" i="1"/>
  <c r="O119" i="1"/>
  <c r="P119" i="1" s="1"/>
  <c r="AG119" i="1"/>
  <c r="AH119" i="1" s="1"/>
  <c r="AM130" i="1"/>
  <c r="AN130" i="1" s="1"/>
  <c r="AM95" i="1"/>
  <c r="AN95" i="1" s="1"/>
  <c r="C101" i="1"/>
  <c r="C116" i="1"/>
  <c r="AM114" i="1"/>
  <c r="AN114" i="1" s="1"/>
  <c r="D114" i="1"/>
  <c r="P117" i="1"/>
  <c r="L133" i="1"/>
  <c r="M133" i="1" s="1"/>
  <c r="G130" i="1"/>
  <c r="M121" i="1"/>
  <c r="D132" i="1"/>
  <c r="AM132" i="1"/>
  <c r="AN132" i="1" s="1"/>
  <c r="AM75" i="1"/>
  <c r="AN75" i="1" s="1"/>
  <c r="C85" i="1"/>
  <c r="L89" i="1"/>
  <c r="H101" i="1"/>
  <c r="I101" i="1"/>
  <c r="J101" i="1" s="1"/>
  <c r="I116" i="1"/>
  <c r="J116" i="1" s="1"/>
  <c r="D121" i="1"/>
  <c r="J122" i="1"/>
  <c r="U133" i="1"/>
  <c r="V133" i="1" s="1"/>
  <c r="AM128" i="1"/>
  <c r="AN128" i="1" s="1"/>
  <c r="G128" i="1"/>
  <c r="R80" i="1"/>
  <c r="S80" i="1" s="1"/>
  <c r="X116" i="1"/>
  <c r="Y116" i="1" s="1"/>
  <c r="F133" i="1"/>
  <c r="G133" i="1" s="1"/>
  <c r="AM94" i="1"/>
  <c r="AN94" i="1" s="1"/>
  <c r="AM100" i="1"/>
  <c r="AN100" i="1" s="1"/>
  <c r="AM106" i="1"/>
  <c r="J117" i="1"/>
  <c r="G125" i="1"/>
  <c r="X133" i="1"/>
  <c r="Y133" i="1" s="1"/>
  <c r="AM125" i="1"/>
  <c r="AN125" i="1" s="1"/>
  <c r="AG133" i="1"/>
  <c r="AH133" i="1" s="1"/>
  <c r="AN106" i="1" l="1"/>
  <c r="P116" i="1"/>
  <c r="AL116" i="1"/>
  <c r="H16" i="1"/>
  <c r="H36" i="1" s="1"/>
  <c r="H37" i="1" s="1"/>
  <c r="AL13" i="1"/>
  <c r="AM89" i="1"/>
  <c r="AN89" i="1" s="1"/>
  <c r="D89" i="1"/>
  <c r="J80" i="1"/>
  <c r="AM133" i="1"/>
  <c r="AN133" i="1" s="1"/>
  <c r="D133" i="1"/>
  <c r="AJ56" i="1"/>
  <c r="AK52" i="1"/>
  <c r="AN70" i="1"/>
  <c r="AG52" i="1"/>
  <c r="AH51" i="1"/>
  <c r="R16" i="1"/>
  <c r="S13" i="1"/>
  <c r="AK13" i="1"/>
  <c r="AJ16" i="1"/>
  <c r="AM30" i="1"/>
  <c r="AN30" i="1" s="1"/>
  <c r="D30" i="1"/>
  <c r="AN87" i="1"/>
  <c r="H134" i="1"/>
  <c r="AA36" i="1"/>
  <c r="AL12" i="1"/>
  <c r="K134" i="1"/>
  <c r="AL72" i="1"/>
  <c r="X16" i="1"/>
  <c r="Y13" i="1"/>
  <c r="O16" i="1"/>
  <c r="P13" i="1"/>
  <c r="AL16" i="1"/>
  <c r="B36" i="1"/>
  <c r="M13" i="1"/>
  <c r="AG36" i="1"/>
  <c r="AH16" i="1"/>
  <c r="O52" i="1"/>
  <c r="M51" i="1"/>
  <c r="AM72" i="1"/>
  <c r="AN72" i="1" s="1"/>
  <c r="AM35" i="1"/>
  <c r="AN35" i="1" s="1"/>
  <c r="D35" i="1"/>
  <c r="J13" i="1"/>
  <c r="I16" i="1"/>
  <c r="L56" i="1"/>
  <c r="M52" i="1"/>
  <c r="B56" i="1"/>
  <c r="AL52" i="1"/>
  <c r="J12" i="1"/>
  <c r="AE13" i="1"/>
  <c r="AD16" i="1"/>
  <c r="L36" i="1"/>
  <c r="K135" i="1"/>
  <c r="K136" i="1" s="1"/>
  <c r="D51" i="1"/>
  <c r="C52" i="1"/>
  <c r="AM51" i="1"/>
  <c r="AN51" i="1" s="1"/>
  <c r="AN47" i="1"/>
  <c r="AL101" i="1"/>
  <c r="AM116" i="1"/>
  <c r="AN116" i="1" s="1"/>
  <c r="D116" i="1"/>
  <c r="AM61" i="1"/>
  <c r="AN61" i="1" s="1"/>
  <c r="D61" i="1"/>
  <c r="AM25" i="1"/>
  <c r="AN25" i="1" s="1"/>
  <c r="D25" i="1"/>
  <c r="D101" i="1"/>
  <c r="AM101" i="1"/>
  <c r="M72" i="1"/>
  <c r="AN59" i="1"/>
  <c r="AN77" i="1"/>
  <c r="AM12" i="1"/>
  <c r="AN12" i="1" s="1"/>
  <c r="D12" i="1"/>
  <c r="C13" i="1"/>
  <c r="AN65" i="1"/>
  <c r="V13" i="1"/>
  <c r="U16" i="1"/>
  <c r="M16" i="1"/>
  <c r="G13" i="1"/>
  <c r="F16" i="1"/>
  <c r="AB51" i="1"/>
  <c r="AA52" i="1"/>
  <c r="V51" i="1"/>
  <c r="U52" i="1"/>
  <c r="J52" i="1"/>
  <c r="I56" i="1"/>
  <c r="M89" i="1"/>
  <c r="AD52" i="1"/>
  <c r="D85" i="1"/>
  <c r="AM85" i="1"/>
  <c r="AN85" i="1" s="1"/>
  <c r="AN107" i="1"/>
  <c r="R52" i="1"/>
  <c r="AN84" i="1"/>
  <c r="M116" i="1"/>
  <c r="AM119" i="1"/>
  <c r="AN119" i="1" s="1"/>
  <c r="D119" i="1"/>
  <c r="AM80" i="1"/>
  <c r="AN80" i="1" s="1"/>
  <c r="D80" i="1"/>
  <c r="AN60" i="1"/>
  <c r="G51" i="1"/>
  <c r="F52" i="1"/>
  <c r="X56" i="1"/>
  <c r="Y52" i="1"/>
  <c r="AN53" i="1"/>
  <c r="I134" i="1" l="1"/>
  <c r="J134" i="1" s="1"/>
  <c r="J56" i="1"/>
  <c r="V52" i="1"/>
  <c r="U56" i="1"/>
  <c r="C16" i="1"/>
  <c r="D13" i="1"/>
  <c r="AM13" i="1"/>
  <c r="AN13" i="1" s="1"/>
  <c r="L37" i="1"/>
  <c r="M36" i="1"/>
  <c r="AJ134" i="1"/>
  <c r="AK134" i="1" s="1"/>
  <c r="AK56" i="1"/>
  <c r="J16" i="1"/>
  <c r="I36" i="1"/>
  <c r="B37" i="1"/>
  <c r="AL36" i="1"/>
  <c r="X134" i="1"/>
  <c r="Y134" i="1" s="1"/>
  <c r="Y56" i="1"/>
  <c r="AD36" i="1"/>
  <c r="AE16" i="1"/>
  <c r="AB52" i="1"/>
  <c r="AA56" i="1"/>
  <c r="F56" i="1"/>
  <c r="G52" i="1"/>
  <c r="B134" i="1"/>
  <c r="AL134" i="1" s="1"/>
  <c r="AL56" i="1"/>
  <c r="R36" i="1"/>
  <c r="S16" i="1"/>
  <c r="AE52" i="1"/>
  <c r="AD56" i="1"/>
  <c r="AN101" i="1"/>
  <c r="AH36" i="1"/>
  <c r="AG37" i="1"/>
  <c r="O36" i="1"/>
  <c r="P16" i="1"/>
  <c r="S52" i="1"/>
  <c r="R56" i="1"/>
  <c r="AJ36" i="1"/>
  <c r="AK16" i="1"/>
  <c r="Y16" i="1"/>
  <c r="X36" i="1"/>
  <c r="F36" i="1"/>
  <c r="G16" i="1"/>
  <c r="P52" i="1"/>
  <c r="O56" i="1"/>
  <c r="U36" i="1"/>
  <c r="V16" i="1"/>
  <c r="C56" i="1"/>
  <c r="AM52" i="1"/>
  <c r="AN52" i="1" s="1"/>
  <c r="D52" i="1"/>
  <c r="L134" i="1"/>
  <c r="M134" i="1" s="1"/>
  <c r="M56" i="1"/>
  <c r="AA37" i="1"/>
  <c r="AB36" i="1"/>
  <c r="AG56" i="1"/>
  <c r="AH52" i="1"/>
  <c r="H135" i="1"/>
  <c r="H136" i="1" s="1"/>
  <c r="AE36" i="1" l="1"/>
  <c r="AD37" i="1"/>
  <c r="R134" i="1"/>
  <c r="S134" i="1" s="1"/>
  <c r="S56" i="1"/>
  <c r="R37" i="1"/>
  <c r="S36" i="1"/>
  <c r="D16" i="1"/>
  <c r="C36" i="1"/>
  <c r="AM16" i="1"/>
  <c r="AN16" i="1" s="1"/>
  <c r="AG134" i="1"/>
  <c r="AH134" i="1" s="1"/>
  <c r="AH56" i="1"/>
  <c r="O134" i="1"/>
  <c r="P134" i="1" s="1"/>
  <c r="P56" i="1"/>
  <c r="J36" i="1"/>
  <c r="I37" i="1"/>
  <c r="AK36" i="1"/>
  <c r="AJ37" i="1"/>
  <c r="B135" i="1"/>
  <c r="AL37" i="1"/>
  <c r="AA135" i="1"/>
  <c r="AB37" i="1"/>
  <c r="X37" i="1"/>
  <c r="Y36" i="1"/>
  <c r="AE56" i="1"/>
  <c r="AD134" i="1"/>
  <c r="AE134" i="1" s="1"/>
  <c r="L135" i="1"/>
  <c r="M37" i="1"/>
  <c r="C134" i="1"/>
  <c r="D56" i="1"/>
  <c r="AM56" i="1"/>
  <c r="AN56" i="1" s="1"/>
  <c r="U37" i="1"/>
  <c r="V36" i="1"/>
  <c r="U134" i="1"/>
  <c r="V134" i="1" s="1"/>
  <c r="V56" i="1"/>
  <c r="O37" i="1"/>
  <c r="P36" i="1"/>
  <c r="AH37" i="1"/>
  <c r="F134" i="1"/>
  <c r="G134" i="1" s="1"/>
  <c r="G56" i="1"/>
  <c r="F37" i="1"/>
  <c r="G36" i="1"/>
  <c r="AA134" i="1"/>
  <c r="AB134" i="1" s="1"/>
  <c r="AB56" i="1"/>
  <c r="D36" i="1" l="1"/>
  <c r="C37" i="1"/>
  <c r="AM36" i="1"/>
  <c r="AN36" i="1" s="1"/>
  <c r="M135" i="1"/>
  <c r="L136" i="1"/>
  <c r="M136" i="1" s="1"/>
  <c r="R135" i="1"/>
  <c r="S37" i="1"/>
  <c r="D134" i="1"/>
  <c r="AM134" i="1"/>
  <c r="AN134" i="1" s="1"/>
  <c r="AL135" i="1"/>
  <c r="B136" i="1"/>
  <c r="AL136" i="1" s="1"/>
  <c r="AB135" i="1"/>
  <c r="AA136" i="1"/>
  <c r="AB136" i="1" s="1"/>
  <c r="AG135" i="1"/>
  <c r="AJ135" i="1"/>
  <c r="AK37" i="1"/>
  <c r="O135" i="1"/>
  <c r="P37" i="1"/>
  <c r="X135" i="1"/>
  <c r="Y37" i="1"/>
  <c r="AE37" i="1"/>
  <c r="AD135" i="1"/>
  <c r="I135" i="1"/>
  <c r="J37" i="1"/>
  <c r="F135" i="1"/>
  <c r="G37" i="1"/>
  <c r="U135" i="1"/>
  <c r="V37" i="1"/>
  <c r="Y135" i="1" l="1"/>
  <c r="X136" i="1"/>
  <c r="Y136" i="1" s="1"/>
  <c r="AH135" i="1"/>
  <c r="AG136" i="1"/>
  <c r="AH136" i="1" s="1"/>
  <c r="V135" i="1"/>
  <c r="U136" i="1"/>
  <c r="V136" i="1" s="1"/>
  <c r="P135" i="1"/>
  <c r="O136" i="1"/>
  <c r="P136" i="1" s="1"/>
  <c r="S135" i="1"/>
  <c r="R136" i="1"/>
  <c r="S136" i="1" s="1"/>
  <c r="G135" i="1"/>
  <c r="F136" i="1"/>
  <c r="G136" i="1" s="1"/>
  <c r="AK135" i="1"/>
  <c r="AJ136" i="1"/>
  <c r="AK136" i="1" s="1"/>
  <c r="I136" i="1"/>
  <c r="J136" i="1" s="1"/>
  <c r="J135" i="1"/>
  <c r="AD136" i="1"/>
  <c r="AE136" i="1" s="1"/>
  <c r="AE135" i="1"/>
  <c r="C135" i="1"/>
  <c r="D37" i="1"/>
  <c r="AM37" i="1"/>
  <c r="AN37" i="1" s="1"/>
  <c r="AM135" i="1" l="1"/>
  <c r="AN135" i="1" s="1"/>
  <c r="D135" i="1"/>
  <c r="C136" i="1"/>
  <c r="AM136" i="1" l="1"/>
  <c r="AN136" i="1" s="1"/>
  <c r="D136" i="1"/>
</calcChain>
</file>

<file path=xl/sharedStrings.xml><?xml version="1.0" encoding="utf-8"?>
<sst xmlns="http://schemas.openxmlformats.org/spreadsheetml/2006/main" count="186" uniqueCount="150">
  <si>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</si>
  <si>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</si>
  <si>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</si>
  <si>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</si>
  <si>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</si>
  <si>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</si>
  <si>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</si>
  <si>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</si>
  <si>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</si>
  <si>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</si>
  <si>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</si>
  <si>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</si>
  <si>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Total</t>
  </si>
  <si>
    <t>Actual</t>
  </si>
  <si>
    <t>Budget</t>
  </si>
  <si>
    <t>% of Budget</t>
  </si>
  <si>
    <t>Income</t>
  </si>
  <si>
    <t xml:space="preserve">   300 Dues</t>
  </si>
  <si>
    <t xml:space="preserve">      301 Chapter Dues</t>
  </si>
  <si>
    <t xml:space="preserve">         302 Retirees</t>
  </si>
  <si>
    <t xml:space="preserve">            305 Lifetime Dues</t>
  </si>
  <si>
    <t xml:space="preserve">         Total 302 Retirees</t>
  </si>
  <si>
    <t xml:space="preserve">      Total 301 Chapter Dues</t>
  </si>
  <si>
    <t xml:space="preserve">      311 Members-at-Large</t>
  </si>
  <si>
    <t xml:space="preserve">      312 Corporate</t>
  </si>
  <si>
    <t xml:space="preserve">   Total 300 Dues</t>
  </si>
  <si>
    <t xml:space="preserve">   331 Advertising Sales</t>
  </si>
  <si>
    <t xml:space="preserve">   341 Interest</t>
  </si>
  <si>
    <t xml:space="preserve">   351 Convention Fees</t>
  </si>
  <si>
    <t xml:space="preserve">      35101 Seminar Only</t>
  </si>
  <si>
    <t xml:space="preserve">      35102 Exhibitors/Sponsors</t>
  </si>
  <si>
    <t xml:space="preserve">      35103 Special Events</t>
  </si>
  <si>
    <t xml:space="preserve">      35104 Luncheon/Dinner Guest Tickets</t>
  </si>
  <si>
    <t xml:space="preserve">      35105 Hospitality Monies</t>
  </si>
  <si>
    <t xml:space="preserve">   Total 351 Convention Fees</t>
  </si>
  <si>
    <t xml:space="preserve">   381 Magazine Subscriptions</t>
  </si>
  <si>
    <t xml:space="preserve">   382 Membership Products</t>
  </si>
  <si>
    <t xml:space="preserve">      38221 Membership Prod Stainless Tumb</t>
  </si>
  <si>
    <t xml:space="preserve">      38223 Polos</t>
  </si>
  <si>
    <t xml:space="preserve">   Total 382 Membership Products</t>
  </si>
  <si>
    <t xml:space="preserve">   391 Miscellaneous Income</t>
  </si>
  <si>
    <t xml:space="preserve">      39101 Refunds</t>
  </si>
  <si>
    <t xml:space="preserve">      393 Rental Income</t>
  </si>
  <si>
    <t xml:space="preserve">      394 Travel Reimbursements</t>
  </si>
  <si>
    <t xml:space="preserve">   Total 391 Miscellaneous Income</t>
  </si>
  <si>
    <t>Total Income</t>
  </si>
  <si>
    <t>Gross Profit</t>
  </si>
  <si>
    <t>Expenses</t>
  </si>
  <si>
    <t xml:space="preserve">   500 Payroll Expenses</t>
  </si>
  <si>
    <t xml:space="preserve">      501 Salary Admin</t>
  </si>
  <si>
    <t xml:space="preserve">         50101 Staff--N.O.</t>
  </si>
  <si>
    <t xml:space="preserve">         50102 Executive Board</t>
  </si>
  <si>
    <t xml:space="preserve">            501R1 Fees  RegDir1</t>
  </si>
  <si>
    <t xml:space="preserve">            501R2 Fees RegDir2</t>
  </si>
  <si>
    <t xml:space="preserve">            501R3 Fees RegDir3</t>
  </si>
  <si>
    <t xml:space="preserve">            501R4 Fees RegDir4</t>
  </si>
  <si>
    <t xml:space="preserve">            52101 Fees President</t>
  </si>
  <si>
    <t xml:space="preserve">            52102 Fees Vice President</t>
  </si>
  <si>
    <t xml:space="preserve">            52103 Fees Secretary</t>
  </si>
  <si>
    <t xml:space="preserve">            52104 Fees - Treasurer</t>
  </si>
  <si>
    <t xml:space="preserve">         Total 50102 Executive Board</t>
  </si>
  <si>
    <t xml:space="preserve">      Total 501 Salary Admin</t>
  </si>
  <si>
    <t xml:space="preserve">      50901 Employer's FICA/Medicare</t>
  </si>
  <si>
    <t xml:space="preserve">      50902 SUTA</t>
  </si>
  <si>
    <t xml:space="preserve">      50903 FUTA</t>
  </si>
  <si>
    <t xml:space="preserve">   Total 500 Payroll Expenses</t>
  </si>
  <si>
    <t xml:space="preserve">   502 Contracted Salary</t>
  </si>
  <si>
    <t xml:space="preserve">   503 Employee Benefits</t>
  </si>
  <si>
    <t xml:space="preserve">      50301 Employee Insurance Benefits</t>
  </si>
  <si>
    <t xml:space="preserve">      50302 Employee Retirement Benefits</t>
  </si>
  <si>
    <t xml:space="preserve">   Total 503 Employee Benefits</t>
  </si>
  <si>
    <t xml:space="preserve">   601 Building Expenses</t>
  </si>
  <si>
    <t xml:space="preserve">      60120 Real Estate Taxes</t>
  </si>
  <si>
    <t xml:space="preserve">      60130 Janitorial</t>
  </si>
  <si>
    <t xml:space="preserve">      60140 Electric</t>
  </si>
  <si>
    <t xml:space="preserve">      60150 Alarm</t>
  </si>
  <si>
    <t xml:space="preserve">      60160 Condo Fees</t>
  </si>
  <si>
    <t xml:space="preserve">      60170 Building Expenses-Recycle Costs</t>
  </si>
  <si>
    <t xml:space="preserve">      60180 Building Exp- 60180 Exterminate</t>
  </si>
  <si>
    <t xml:space="preserve">      60190 Bldg. - Maintenance</t>
  </si>
  <si>
    <t xml:space="preserve">      60195 Miscellaneous</t>
  </si>
  <si>
    <t xml:space="preserve">   Total 601 Building Expenses</t>
  </si>
  <si>
    <t xml:space="preserve">   602 Office Supplies</t>
  </si>
  <si>
    <t xml:space="preserve">   603 Furniture &amp; Equip &lt; $500</t>
  </si>
  <si>
    <t xml:space="preserve">   604 Depreciation &amp; Amortization</t>
  </si>
  <si>
    <t xml:space="preserve">   605 Equipment Rental</t>
  </si>
  <si>
    <t xml:space="preserve">      60501 Copier &amp; Maintenance</t>
  </si>
  <si>
    <t xml:space="preserve">      60502 Postage &amp; Postage Meter</t>
  </si>
  <si>
    <t xml:space="preserve">      60503 Mail Equipment Lease</t>
  </si>
  <si>
    <t xml:space="preserve">   Total 605 Equipment Rental</t>
  </si>
  <si>
    <t xml:space="preserve">   606 Maintenance Contracts / Repairs</t>
  </si>
  <si>
    <t xml:space="preserve">   607 Service Fees - Client Analysis</t>
  </si>
  <si>
    <t xml:space="preserve">      60702 Service Fees-AMEX Fees</t>
  </si>
  <si>
    <t xml:space="preserve">      60703 Service Fees-Merchants Fees</t>
  </si>
  <si>
    <t xml:space="preserve">   Total 607 Service Fees - Client Analysis</t>
  </si>
  <si>
    <t xml:space="preserve">   608 Professional Services</t>
  </si>
  <si>
    <t xml:space="preserve">      60804 Financial Services (CPA)</t>
  </si>
  <si>
    <t xml:space="preserve">      60805 Payroll Services</t>
  </si>
  <si>
    <t xml:space="preserve">   Total 608 Professional Services</t>
  </si>
  <si>
    <t xml:space="preserve">   609 IT Support Services</t>
  </si>
  <si>
    <t xml:space="preserve">   610 Service Subscriptions</t>
  </si>
  <si>
    <t xml:space="preserve">   612 Insurance-Corporate</t>
  </si>
  <si>
    <t xml:space="preserve">   613 Training - N.O. Staff</t>
  </si>
  <si>
    <t xml:space="preserve">   614 Organization or Membership Dues</t>
  </si>
  <si>
    <t xml:space="preserve">   616 Online Registration Service</t>
  </si>
  <si>
    <t xml:space="preserve">   629 Phone Services</t>
  </si>
  <si>
    <t xml:space="preserve">      630 Local Phone</t>
  </si>
  <si>
    <t xml:space="preserve">      63002 Wireless Cell Phones</t>
  </si>
  <si>
    <t xml:space="preserve">      631 Long Distance</t>
  </si>
  <si>
    <t xml:space="preserve">      632 EB Conference Calls</t>
  </si>
  <si>
    <t xml:space="preserve">   Total 629 Phone Services</t>
  </si>
  <si>
    <t xml:space="preserve">   633 Deliveries (UPS)</t>
  </si>
  <si>
    <t xml:space="preserve">   641 Local Property Tax</t>
  </si>
  <si>
    <t xml:space="preserve">   650 Corporate &amp; Coalition Relations</t>
  </si>
  <si>
    <t xml:space="preserve">   660 Advocacy</t>
  </si>
  <si>
    <t xml:space="preserve">   661 EB/N.O. Business/Mtgs</t>
  </si>
  <si>
    <t xml:space="preserve">      66101 Exp President</t>
  </si>
  <si>
    <t xml:space="preserve">      66102 Exp Vice President</t>
  </si>
  <si>
    <t xml:space="preserve">      66103 Exp Secretary</t>
  </si>
  <si>
    <t xml:space="preserve">      66104 Exp Treasurer</t>
  </si>
  <si>
    <t xml:space="preserve">      66105 Exp NOS NC</t>
  </si>
  <si>
    <t xml:space="preserve">      661R1 Exp RegDir1</t>
  </si>
  <si>
    <t xml:space="preserve">      661R2 Exp RegDir2</t>
  </si>
  <si>
    <t xml:space="preserve">      661R3 Exp RegDir3</t>
  </si>
  <si>
    <t xml:space="preserve">      661R4 Exp RegDir4</t>
  </si>
  <si>
    <t xml:space="preserve">   Total 661 EB/N.O. Business/Mtgs</t>
  </si>
  <si>
    <t xml:space="preserve">   663 Recruitment</t>
  </si>
  <si>
    <t xml:space="preserve">      666 Recruitment Material/Supplies</t>
  </si>
  <si>
    <t xml:space="preserve">   Total 663 Recruitment</t>
  </si>
  <si>
    <t xml:space="preserve">   667 Member Products</t>
  </si>
  <si>
    <t xml:space="preserve">   699 Miscellaneous Expense</t>
  </si>
  <si>
    <t xml:space="preserve">   701 Magazine - Layout/Printing</t>
  </si>
  <si>
    <t xml:space="preserve">   703 Printing-General Office Supply</t>
  </si>
  <si>
    <t xml:space="preserve">   801 National Convention</t>
  </si>
  <si>
    <t xml:space="preserve">      80102 NC Hotel / Food &amp; Beverage</t>
  </si>
  <si>
    <t xml:space="preserve">      80103 NC Special Events</t>
  </si>
  <si>
    <t xml:space="preserve">      80105 Natl Conv Hospitality Rooms</t>
  </si>
  <si>
    <t xml:space="preserve">      802 NC Rebates</t>
  </si>
  <si>
    <t xml:space="preserve">      803 NC Printing-Signs/Binders/Tabs</t>
  </si>
  <si>
    <t xml:space="preserve">      80301 NC Legis Printing</t>
  </si>
  <si>
    <t xml:space="preserve">      805 NC Training/Presenter Fee</t>
  </si>
  <si>
    <t xml:space="preserve">      812 Natl Conv-Other</t>
  </si>
  <si>
    <t xml:space="preserve">   Total 801 National Convention</t>
  </si>
  <si>
    <t>Total Expenses</t>
  </si>
  <si>
    <t>Net Operating Income</t>
  </si>
  <si>
    <t>Net Income</t>
  </si>
  <si>
    <t>Monday, Feb 09, 2026 08:33:26 AM GMT-8 - Cash Basis</t>
  </si>
  <si>
    <t>FEDERAL MANAGERS ASSOCIATION</t>
  </si>
  <si>
    <t xml:space="preserve">Budget vs. Actuals: Budget_FY26_P&amp;L - FY26 P&amp;L </t>
  </si>
  <si>
    <t>October 2025 -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</si>
</sst>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0"/>
  <sheetViews>
    <sheetView tabSelected="1" workbookViewId="0">
      <selection activeCell="A37" sqref="A37:XFD37"/>
    </sheetView>
  </sheetViews>
  <sheetFormatPr defaultRowHeight="15" x14ac:dyDescent="0.25"/>
  <cols>
    <col min="1" max="1" width="37.85546875" customWidth="1"/>
    <col min="2" max="2" width="9.42578125" customWidth="1"/>
    <col min="3" max="4" width="10.28515625" customWidth="1"/>
    <col min="5" max="5" width="9.42578125" customWidth="1"/>
    <col min="6" max="6" width="10.28515625" customWidth="1"/>
    <col min="7" max="7" width="8.5703125" customWidth="1"/>
    <col min="8" max="8" width="11.140625" customWidth="1"/>
    <col min="9" max="9" width="10.28515625" customWidth="1"/>
    <col min="10" max="11" width="9.42578125" customWidth="1"/>
    <col min="12" max="13" width="10.28515625" customWidth="1"/>
    <col min="14" max="14" width="8.5703125" hidden="1" customWidth="1"/>
    <col min="15" max="15" width="10.28515625" hidden="1" customWidth="1"/>
    <col min="16" max="17" width="7.7109375" hidden="1" customWidth="1"/>
    <col min="18" max="18" width="10.28515625" hidden="1" customWidth="1"/>
    <col min="19" max="20" width="7.7109375" hidden="1" customWidth="1"/>
    <col min="21" max="21" width="10.28515625" hidden="1" customWidth="1"/>
    <col min="22" max="23" width="7.7109375" hidden="1" customWidth="1"/>
    <col min="24" max="24" width="10.28515625" hidden="1" customWidth="1"/>
    <col min="25" max="26" width="7.7109375" hidden="1" customWidth="1"/>
    <col min="27" max="27" width="10.28515625" hidden="1" customWidth="1"/>
    <col min="28" max="29" width="7.7109375" hidden="1" customWidth="1"/>
    <col min="30" max="30" width="10.28515625" hidden="1" customWidth="1"/>
    <col min="31" max="32" width="7.7109375" hidden="1" customWidth="1"/>
    <col min="33" max="33" width="10.28515625" hidden="1" customWidth="1"/>
    <col min="34" max="35" width="7.7109375" hidden="1" customWidth="1"/>
    <col min="36" max="36" width="10.28515625" hidden="1" customWidth="1"/>
    <col min="37" max="37" width="7.7109375" hidden="1" customWidth="1"/>
    <col min="38" max="38" width="10.28515625" customWidth="1"/>
    <col min="39" max="39" width="11.140625" customWidth="1"/>
    <col min="40" max="40" width="8.5703125" customWidth="1"/>
  </cols>
  <sheetData>
    <row r="1" spans="1:40" ht="18" x14ac:dyDescent="0.25">
      <c r="A1" s="15" t="s">
        <v>147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 ht="18" x14ac:dyDescent="0.25">
      <c r="A2" s="15" t="s">
        <v>148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25">
      <c r="A3" s="16" t="s">
        <v>149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5" spans="1:40" x14ac:dyDescent="0.25">
      <c r="A5" s="1"/>
      <c r="B5" s="11" t="s">
        <v>0</v>
      </c>
      <c r="C5" s="12"/>
      <c r="D5" s="12"/>
      <c r="E5" s="11" t="s">
        <v>1</v>
      </c>
      <c r="F5" s="12"/>
      <c r="G5" s="12"/>
      <c r="H5" s="11" t="s">
        <v>2</v>
      </c>
      <c r="I5" s="12"/>
      <c r="J5" s="12"/>
      <c r="K5" s="11" t="s">
        <v>3</v>
      </c>
      <c r="L5" s="12"/>
      <c r="M5" s="12"/>
      <c r="N5" s="11" t="s">
        <v>4</v>
      </c>
      <c r="O5" s="12"/>
      <c r="P5" s="12"/>
      <c r="Q5" s="11" t="s">
        <v>5</v>
      </c>
      <c r="R5" s="12"/>
      <c r="S5" s="12"/>
      <c r="T5" s="11" t="s">
        <v>6</v>
      </c>
      <c r="U5" s="12"/>
      <c r="V5" s="12"/>
      <c r="W5" s="11" t="s">
        <v>7</v>
      </c>
      <c r="X5" s="12"/>
      <c r="Y5" s="12"/>
      <c r="Z5" s="11" t="s">
        <v>8</v>
      </c>
      <c r="AA5" s="12"/>
      <c r="AB5" s="12"/>
      <c r="AC5" s="11" t="s">
        <v>9</v>
      </c>
      <c r="AD5" s="12"/>
      <c r="AE5" s="12"/>
      <c r="AF5" s="11" t="s">
        <v>10</v>
      </c>
      <c r="AG5" s="12"/>
      <c r="AH5" s="12"/>
      <c r="AI5" s="11" t="s">
        <v>11</v>
      </c>
      <c r="AJ5" s="12"/>
      <c r="AK5" s="12"/>
      <c r="AL5" s="11" t="s">
        <v>12</v>
      </c>
      <c r="AM5" s="12"/>
      <c r="AN5" s="12"/>
    </row>
    <row r="6" spans="1:40" ht="24.75" x14ac:dyDescent="0.25">
      <c r="A6" s="1"/>
      <c r="B6" s="2" t="s">
        <v>13</v>
      </c>
      <c r="C6" s="2" t="s">
        <v>14</v>
      </c>
      <c r="D6" s="2" t="s">
        <v>15</v>
      </c>
      <c r="E6" s="2" t="s">
        <v>13</v>
      </c>
      <c r="F6" s="2" t="s">
        <v>14</v>
      </c>
      <c r="G6" s="2" t="s">
        <v>15</v>
      </c>
      <c r="H6" s="2" t="s">
        <v>13</v>
      </c>
      <c r="I6" s="2" t="s">
        <v>14</v>
      </c>
      <c r="J6" s="2" t="s">
        <v>15</v>
      </c>
      <c r="K6" s="2" t="s">
        <v>13</v>
      </c>
      <c r="L6" s="2" t="s">
        <v>14</v>
      </c>
      <c r="M6" s="2" t="s">
        <v>15</v>
      </c>
      <c r="N6" s="2" t="s">
        <v>13</v>
      </c>
      <c r="O6" s="2" t="s">
        <v>14</v>
      </c>
      <c r="P6" s="2" t="s">
        <v>15</v>
      </c>
      <c r="Q6" s="2" t="s">
        <v>13</v>
      </c>
      <c r="R6" s="2" t="s">
        <v>14</v>
      </c>
      <c r="S6" s="2" t="s">
        <v>15</v>
      </c>
      <c r="T6" s="2" t="s">
        <v>13</v>
      </c>
      <c r="U6" s="2" t="s">
        <v>14</v>
      </c>
      <c r="V6" s="2" t="s">
        <v>15</v>
      </c>
      <c r="W6" s="2" t="s">
        <v>13</v>
      </c>
      <c r="X6" s="2" t="s">
        <v>14</v>
      </c>
      <c r="Y6" s="2" t="s">
        <v>15</v>
      </c>
      <c r="Z6" s="2" t="s">
        <v>13</v>
      </c>
      <c r="AA6" s="2" t="s">
        <v>14</v>
      </c>
      <c r="AB6" s="2" t="s">
        <v>15</v>
      </c>
      <c r="AC6" s="2" t="s">
        <v>13</v>
      </c>
      <c r="AD6" s="2" t="s">
        <v>14</v>
      </c>
      <c r="AE6" s="2" t="s">
        <v>15</v>
      </c>
      <c r="AF6" s="2" t="s">
        <v>13</v>
      </c>
      <c r="AG6" s="2" t="s">
        <v>14</v>
      </c>
      <c r="AH6" s="2" t="s">
        <v>15</v>
      </c>
      <c r="AI6" s="2" t="s">
        <v>13</v>
      </c>
      <c r="AJ6" s="2" t="s">
        <v>14</v>
      </c>
      <c r="AK6" s="2" t="s">
        <v>15</v>
      </c>
      <c r="AL6" s="2" t="s">
        <v>13</v>
      </c>
      <c r="AM6" s="2" t="s">
        <v>14</v>
      </c>
      <c r="AN6" s="2" t="s">
        <v>15</v>
      </c>
    </row>
    <row r="7" spans="1:40" x14ac:dyDescent="0.25">
      <c r="A7" s="3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3" t="s">
        <v>17</v>
      </c>
      <c r="B8" s="4"/>
      <c r="C8" s="4"/>
      <c r="D8" s="5" t="str">
        <f t="shared" ref="D8:D37" si="0">IF(C8=0,"",(B8)/(C8))</f>
        <v/>
      </c>
      <c r="E8" s="4"/>
      <c r="F8" s="4"/>
      <c r="G8" s="5" t="str">
        <f t="shared" ref="G8:G37" si="1">IF(F8=0,"",(E8)/(F8))</f>
        <v/>
      </c>
      <c r="H8" s="4"/>
      <c r="I8" s="4"/>
      <c r="J8" s="5" t="str">
        <f t="shared" ref="J8:J37" si="2">IF(I8=0,"",(H8)/(I8))</f>
        <v/>
      </c>
      <c r="K8" s="4"/>
      <c r="L8" s="4"/>
      <c r="M8" s="5" t="str">
        <f t="shared" ref="M8:M37" si="3">IF(L8=0,"",(K8)/(L8))</f>
        <v/>
      </c>
      <c r="N8" s="4"/>
      <c r="O8" s="4"/>
      <c r="P8" s="5" t="str">
        <f t="shared" ref="P8:P37" si="4">IF(O8=0,"",(N8)/(O8))</f>
        <v/>
      </c>
      <c r="Q8" s="4"/>
      <c r="R8" s="4"/>
      <c r="S8" s="5" t="str">
        <f t="shared" ref="S8:S37" si="5">IF(R8=0,"",(Q8)/(R8))</f>
        <v/>
      </c>
      <c r="T8" s="4"/>
      <c r="U8" s="4"/>
      <c r="V8" s="5" t="str">
        <f t="shared" ref="V8:V37" si="6">IF(U8=0,"",(T8)/(U8))</f>
        <v/>
      </c>
      <c r="W8" s="4"/>
      <c r="X8" s="4"/>
      <c r="Y8" s="5" t="str">
        <f t="shared" ref="Y8:Y37" si="7">IF(X8=0,"",(W8)/(X8))</f>
        <v/>
      </c>
      <c r="Z8" s="4"/>
      <c r="AA8" s="4"/>
      <c r="AB8" s="5" t="str">
        <f t="shared" ref="AB8:AB37" si="8">IF(AA8=0,"",(Z8)/(AA8))</f>
        <v/>
      </c>
      <c r="AC8" s="4"/>
      <c r="AD8" s="4"/>
      <c r="AE8" s="5" t="str">
        <f t="shared" ref="AE8:AE37" si="9">IF(AD8=0,"",(AC8)/(AD8))</f>
        <v/>
      </c>
      <c r="AF8" s="4"/>
      <c r="AG8" s="4"/>
      <c r="AH8" s="5" t="str">
        <f t="shared" ref="AH8:AH37" si="10">IF(AG8=0,"",(AF8)/(AG8))</f>
        <v/>
      </c>
      <c r="AI8" s="4"/>
      <c r="AJ8" s="4"/>
      <c r="AK8" s="5" t="str">
        <f t="shared" ref="AK8:AK37" si="11">IF(AJ8=0,"",(AI8)/(AJ8))</f>
        <v/>
      </c>
      <c r="AL8" s="6">
        <f t="shared" ref="AL8:AL37" si="12">(((((((((((B8)+(E8))+(H8))+(K8))+(N8))+(Q8))+(T8))+(W8))+(Z8))+(AC8))+(AF8))+(AI8)</f>
        <v>0</v>
      </c>
      <c r="AM8" s="6">
        <f t="shared" ref="AM8:AM37" si="13">(((((((((((C8)+(F8))+(I8))+(L8))+(O8))+(R8))+(U8))+(X8))+(AA8))+(AD8))+(AG8))+(AJ8)</f>
        <v>0</v>
      </c>
      <c r="AN8" s="5" t="str">
        <f t="shared" ref="AN8:AN37" si="14">IF(AM8=0,"",(AL8)/(AM8))</f>
        <v/>
      </c>
    </row>
    <row r="9" spans="1:40" x14ac:dyDescent="0.25">
      <c r="A9" s="3" t="s">
        <v>18</v>
      </c>
      <c r="B9" s="6">
        <f>56928.32</f>
        <v>56928.32</v>
      </c>
      <c r="C9" s="6">
        <f>35833.33</f>
        <v>35833.33</v>
      </c>
      <c r="D9" s="5">
        <f t="shared" si="0"/>
        <v>1.5886974501113906</v>
      </c>
      <c r="E9" s="6">
        <f>37515.5</f>
        <v>37515.5</v>
      </c>
      <c r="F9" s="6">
        <f>35833.33</f>
        <v>35833.33</v>
      </c>
      <c r="G9" s="5">
        <f t="shared" si="1"/>
        <v>1.0469442834366776</v>
      </c>
      <c r="H9" s="6">
        <f>14095.36</f>
        <v>14095.36</v>
      </c>
      <c r="I9" s="6">
        <f>35833.33</f>
        <v>35833.33</v>
      </c>
      <c r="J9" s="5">
        <f t="shared" si="2"/>
        <v>0.39335892031245773</v>
      </c>
      <c r="K9" s="6">
        <f>58971.75</f>
        <v>58971.75</v>
      </c>
      <c r="L9" s="6">
        <f>35833.33</f>
        <v>35833.33</v>
      </c>
      <c r="M9" s="5">
        <f t="shared" si="3"/>
        <v>1.645723408904503</v>
      </c>
      <c r="N9" s="4"/>
      <c r="O9" s="6">
        <f>35833.33</f>
        <v>35833.33</v>
      </c>
      <c r="P9" s="5">
        <f t="shared" si="4"/>
        <v>0</v>
      </c>
      <c r="Q9" s="4"/>
      <c r="R9" s="6">
        <f>35833.33</f>
        <v>35833.33</v>
      </c>
      <c r="S9" s="5">
        <f t="shared" si="5"/>
        <v>0</v>
      </c>
      <c r="T9" s="4"/>
      <c r="U9" s="6">
        <f>35833.33</f>
        <v>35833.33</v>
      </c>
      <c r="V9" s="5">
        <f t="shared" si="6"/>
        <v>0</v>
      </c>
      <c r="W9" s="4"/>
      <c r="X9" s="6">
        <f>35833.33</f>
        <v>35833.33</v>
      </c>
      <c r="Y9" s="5">
        <f t="shared" si="7"/>
        <v>0</v>
      </c>
      <c r="Z9" s="4"/>
      <c r="AA9" s="6">
        <f>35833.33</f>
        <v>35833.33</v>
      </c>
      <c r="AB9" s="5">
        <f t="shared" si="8"/>
        <v>0</v>
      </c>
      <c r="AC9" s="4"/>
      <c r="AD9" s="6">
        <f>35833.33</f>
        <v>35833.33</v>
      </c>
      <c r="AE9" s="5">
        <f t="shared" si="9"/>
        <v>0</v>
      </c>
      <c r="AF9" s="4"/>
      <c r="AG9" s="6">
        <f>35833.33</f>
        <v>35833.33</v>
      </c>
      <c r="AH9" s="5">
        <f t="shared" si="10"/>
        <v>0</v>
      </c>
      <c r="AI9" s="4"/>
      <c r="AJ9" s="6">
        <f>35833.37</f>
        <v>35833.370000000003</v>
      </c>
      <c r="AK9" s="5">
        <f t="shared" si="11"/>
        <v>0</v>
      </c>
      <c r="AL9" s="6">
        <f t="shared" si="12"/>
        <v>167510.93</v>
      </c>
      <c r="AM9" s="6">
        <f t="shared" si="13"/>
        <v>430000.00000000012</v>
      </c>
      <c r="AN9" s="5">
        <f t="shared" si="14"/>
        <v>0.38956030232558125</v>
      </c>
    </row>
    <row r="10" spans="1:40" x14ac:dyDescent="0.25">
      <c r="A10" s="3" t="s">
        <v>19</v>
      </c>
      <c r="B10" s="6">
        <f>319.5</f>
        <v>319.5</v>
      </c>
      <c r="C10" s="6">
        <f>666.67</f>
        <v>666.67</v>
      </c>
      <c r="D10" s="5">
        <f t="shared" si="0"/>
        <v>0.47924760376198122</v>
      </c>
      <c r="E10" s="6">
        <f>532.5</f>
        <v>532.5</v>
      </c>
      <c r="F10" s="6">
        <f>666.67</f>
        <v>666.67</v>
      </c>
      <c r="G10" s="5">
        <f t="shared" si="1"/>
        <v>0.79874600626996872</v>
      </c>
      <c r="H10" s="6">
        <f>372.75</f>
        <v>372.75</v>
      </c>
      <c r="I10" s="6">
        <f>666.67</f>
        <v>666.67</v>
      </c>
      <c r="J10" s="5">
        <f t="shared" si="2"/>
        <v>0.55912220438897808</v>
      </c>
      <c r="K10" s="6">
        <f>674.5</f>
        <v>674.5</v>
      </c>
      <c r="L10" s="6">
        <f>666.67</f>
        <v>666.67</v>
      </c>
      <c r="M10" s="5">
        <f t="shared" si="3"/>
        <v>1.0117449412752937</v>
      </c>
      <c r="N10" s="4"/>
      <c r="O10" s="6">
        <f>666.67</f>
        <v>666.67</v>
      </c>
      <c r="P10" s="5">
        <f t="shared" si="4"/>
        <v>0</v>
      </c>
      <c r="Q10" s="4"/>
      <c r="R10" s="6">
        <f>666.67</f>
        <v>666.67</v>
      </c>
      <c r="S10" s="5">
        <f t="shared" si="5"/>
        <v>0</v>
      </c>
      <c r="T10" s="4"/>
      <c r="U10" s="6">
        <f>666.67</f>
        <v>666.67</v>
      </c>
      <c r="V10" s="5">
        <f t="shared" si="6"/>
        <v>0</v>
      </c>
      <c r="W10" s="4"/>
      <c r="X10" s="6">
        <f>666.67</f>
        <v>666.67</v>
      </c>
      <c r="Y10" s="5">
        <f t="shared" si="7"/>
        <v>0</v>
      </c>
      <c r="Z10" s="4"/>
      <c r="AA10" s="6">
        <f>666.67</f>
        <v>666.67</v>
      </c>
      <c r="AB10" s="5">
        <f t="shared" si="8"/>
        <v>0</v>
      </c>
      <c r="AC10" s="4"/>
      <c r="AD10" s="6">
        <f>666.67</f>
        <v>666.67</v>
      </c>
      <c r="AE10" s="5">
        <f t="shared" si="9"/>
        <v>0</v>
      </c>
      <c r="AF10" s="4"/>
      <c r="AG10" s="6">
        <f>666.67</f>
        <v>666.67</v>
      </c>
      <c r="AH10" s="5">
        <f t="shared" si="10"/>
        <v>0</v>
      </c>
      <c r="AI10" s="4"/>
      <c r="AJ10" s="6">
        <f>666.63</f>
        <v>666.63</v>
      </c>
      <c r="AK10" s="5">
        <f t="shared" si="11"/>
        <v>0</v>
      </c>
      <c r="AL10" s="6">
        <f t="shared" si="12"/>
        <v>1899.25</v>
      </c>
      <c r="AM10" s="6">
        <f t="shared" si="13"/>
        <v>8000</v>
      </c>
      <c r="AN10" s="5">
        <f t="shared" si="14"/>
        <v>0.23740625000000001</v>
      </c>
    </row>
    <row r="11" spans="1:40" x14ac:dyDescent="0.25">
      <c r="A11" s="3" t="s">
        <v>20</v>
      </c>
      <c r="B11" s="4"/>
      <c r="C11" s="6">
        <f>520.83</f>
        <v>520.83000000000004</v>
      </c>
      <c r="D11" s="5">
        <f t="shared" si="0"/>
        <v>0</v>
      </c>
      <c r="E11" s="6">
        <f>250</f>
        <v>250</v>
      </c>
      <c r="F11" s="6">
        <f>520.83</f>
        <v>520.83000000000004</v>
      </c>
      <c r="G11" s="5">
        <f t="shared" si="1"/>
        <v>0.48000307201966091</v>
      </c>
      <c r="H11" s="6">
        <f>1750</f>
        <v>1750</v>
      </c>
      <c r="I11" s="6">
        <f>520.83</f>
        <v>520.83000000000004</v>
      </c>
      <c r="J11" s="5">
        <f t="shared" si="2"/>
        <v>3.360021504137626</v>
      </c>
      <c r="K11" s="6">
        <f>250</f>
        <v>250</v>
      </c>
      <c r="L11" s="6">
        <f>520.83</f>
        <v>520.83000000000004</v>
      </c>
      <c r="M11" s="5">
        <f t="shared" si="3"/>
        <v>0.48000307201966091</v>
      </c>
      <c r="N11" s="4"/>
      <c r="O11" s="6">
        <f>520.83</f>
        <v>520.83000000000004</v>
      </c>
      <c r="P11" s="5">
        <f t="shared" si="4"/>
        <v>0</v>
      </c>
      <c r="Q11" s="4"/>
      <c r="R11" s="6">
        <f>520.83</f>
        <v>520.83000000000004</v>
      </c>
      <c r="S11" s="5">
        <f t="shared" si="5"/>
        <v>0</v>
      </c>
      <c r="T11" s="4"/>
      <c r="U11" s="6">
        <f>520.83</f>
        <v>520.83000000000004</v>
      </c>
      <c r="V11" s="5">
        <f t="shared" si="6"/>
        <v>0</v>
      </c>
      <c r="W11" s="4"/>
      <c r="X11" s="6">
        <f>520.83</f>
        <v>520.83000000000004</v>
      </c>
      <c r="Y11" s="5">
        <f t="shared" si="7"/>
        <v>0</v>
      </c>
      <c r="Z11" s="4"/>
      <c r="AA11" s="6">
        <f>520.83</f>
        <v>520.83000000000004</v>
      </c>
      <c r="AB11" s="5">
        <f t="shared" si="8"/>
        <v>0</v>
      </c>
      <c r="AC11" s="4"/>
      <c r="AD11" s="6">
        <f>520.83</f>
        <v>520.83000000000004</v>
      </c>
      <c r="AE11" s="5">
        <f t="shared" si="9"/>
        <v>0</v>
      </c>
      <c r="AF11" s="4"/>
      <c r="AG11" s="6">
        <f>520.83</f>
        <v>520.83000000000004</v>
      </c>
      <c r="AH11" s="5">
        <f t="shared" si="10"/>
        <v>0</v>
      </c>
      <c r="AI11" s="4"/>
      <c r="AJ11" s="6">
        <f>520.87</f>
        <v>520.87</v>
      </c>
      <c r="AK11" s="5">
        <f t="shared" si="11"/>
        <v>0</v>
      </c>
      <c r="AL11" s="6">
        <f t="shared" si="12"/>
        <v>2250</v>
      </c>
      <c r="AM11" s="6">
        <f t="shared" si="13"/>
        <v>6250</v>
      </c>
      <c r="AN11" s="5">
        <f t="shared" si="14"/>
        <v>0.36</v>
      </c>
    </row>
    <row r="12" spans="1:40" x14ac:dyDescent="0.25">
      <c r="A12" s="3" t="s">
        <v>21</v>
      </c>
      <c r="B12" s="7">
        <f>(B10)+(B11)</f>
        <v>319.5</v>
      </c>
      <c r="C12" s="7">
        <f>(C10)+(C11)</f>
        <v>1187.5</v>
      </c>
      <c r="D12" s="8">
        <f t="shared" si="0"/>
        <v>0.26905263157894738</v>
      </c>
      <c r="E12" s="7">
        <f>(E10)+(E11)</f>
        <v>782.5</v>
      </c>
      <c r="F12" s="7">
        <f>(F10)+(F11)</f>
        <v>1187.5</v>
      </c>
      <c r="G12" s="8">
        <f t="shared" si="1"/>
        <v>0.65894736842105261</v>
      </c>
      <c r="H12" s="7">
        <f>(H10)+(H11)</f>
        <v>2122.75</v>
      </c>
      <c r="I12" s="7">
        <f>(I10)+(I11)</f>
        <v>1187.5</v>
      </c>
      <c r="J12" s="8">
        <f t="shared" si="2"/>
        <v>1.7875789473684212</v>
      </c>
      <c r="K12" s="7">
        <f>(K10)+(K11)</f>
        <v>924.5</v>
      </c>
      <c r="L12" s="7">
        <f>(L10)+(L11)</f>
        <v>1187.5</v>
      </c>
      <c r="M12" s="8">
        <f t="shared" si="3"/>
        <v>0.77852631578947373</v>
      </c>
      <c r="N12" s="7">
        <f>(N10)+(N11)</f>
        <v>0</v>
      </c>
      <c r="O12" s="7">
        <f>(O10)+(O11)</f>
        <v>1187.5</v>
      </c>
      <c r="P12" s="8">
        <f t="shared" si="4"/>
        <v>0</v>
      </c>
      <c r="Q12" s="7">
        <f>(Q10)+(Q11)</f>
        <v>0</v>
      </c>
      <c r="R12" s="7">
        <f>(R10)+(R11)</f>
        <v>1187.5</v>
      </c>
      <c r="S12" s="8">
        <f t="shared" si="5"/>
        <v>0</v>
      </c>
      <c r="T12" s="7">
        <f>(T10)+(T11)</f>
        <v>0</v>
      </c>
      <c r="U12" s="7">
        <f>(U10)+(U11)</f>
        <v>1187.5</v>
      </c>
      <c r="V12" s="8">
        <f t="shared" si="6"/>
        <v>0</v>
      </c>
      <c r="W12" s="7">
        <f>(W10)+(W11)</f>
        <v>0</v>
      </c>
      <c r="X12" s="7">
        <f>(X10)+(X11)</f>
        <v>1187.5</v>
      </c>
      <c r="Y12" s="8">
        <f t="shared" si="7"/>
        <v>0</v>
      </c>
      <c r="Z12" s="7">
        <f>(Z10)+(Z11)</f>
        <v>0</v>
      </c>
      <c r="AA12" s="7">
        <f>(AA10)+(AA11)</f>
        <v>1187.5</v>
      </c>
      <c r="AB12" s="8">
        <f t="shared" si="8"/>
        <v>0</v>
      </c>
      <c r="AC12" s="7">
        <f>(AC10)+(AC11)</f>
        <v>0</v>
      </c>
      <c r="AD12" s="7">
        <f>(AD10)+(AD11)</f>
        <v>1187.5</v>
      </c>
      <c r="AE12" s="8">
        <f t="shared" si="9"/>
        <v>0</v>
      </c>
      <c r="AF12" s="7">
        <f>(AF10)+(AF11)</f>
        <v>0</v>
      </c>
      <c r="AG12" s="7">
        <f>(AG10)+(AG11)</f>
        <v>1187.5</v>
      </c>
      <c r="AH12" s="8">
        <f t="shared" si="10"/>
        <v>0</v>
      </c>
      <c r="AI12" s="7">
        <f>(AI10)+(AI11)</f>
        <v>0</v>
      </c>
      <c r="AJ12" s="7">
        <f>(AJ10)+(AJ11)</f>
        <v>1187.5</v>
      </c>
      <c r="AK12" s="8">
        <f t="shared" si="11"/>
        <v>0</v>
      </c>
      <c r="AL12" s="7">
        <f t="shared" si="12"/>
        <v>4149.25</v>
      </c>
      <c r="AM12" s="7">
        <f t="shared" si="13"/>
        <v>14250</v>
      </c>
      <c r="AN12" s="8">
        <f t="shared" si="14"/>
        <v>0.29117543859649125</v>
      </c>
    </row>
    <row r="13" spans="1:40" x14ac:dyDescent="0.25">
      <c r="A13" s="3" t="s">
        <v>22</v>
      </c>
      <c r="B13" s="7">
        <f>(B9)+(B12)</f>
        <v>57247.82</v>
      </c>
      <c r="C13" s="7">
        <f>(C9)+(C12)</f>
        <v>37020.83</v>
      </c>
      <c r="D13" s="8">
        <f t="shared" si="0"/>
        <v>1.5463678150922062</v>
      </c>
      <c r="E13" s="7">
        <f>(E9)+(E12)</f>
        <v>38298</v>
      </c>
      <c r="F13" s="7">
        <f>(F9)+(F12)</f>
        <v>37020.83</v>
      </c>
      <c r="G13" s="8">
        <f t="shared" si="1"/>
        <v>1.0344986862801293</v>
      </c>
      <c r="H13" s="7">
        <f>(H9)+(H12)</f>
        <v>16218.11</v>
      </c>
      <c r="I13" s="7">
        <f>(I9)+(I12)</f>
        <v>37020.83</v>
      </c>
      <c r="J13" s="8">
        <f t="shared" si="2"/>
        <v>0.43808066972026288</v>
      </c>
      <c r="K13" s="7">
        <f>(K9)+(K12)</f>
        <v>59896.25</v>
      </c>
      <c r="L13" s="7">
        <f>(L9)+(L12)</f>
        <v>37020.83</v>
      </c>
      <c r="M13" s="8">
        <f t="shared" si="3"/>
        <v>1.6179067298058958</v>
      </c>
      <c r="N13" s="7">
        <f>(N9)+(N12)</f>
        <v>0</v>
      </c>
      <c r="O13" s="7">
        <f>(O9)+(O12)</f>
        <v>37020.83</v>
      </c>
      <c r="P13" s="8">
        <f t="shared" si="4"/>
        <v>0</v>
      </c>
      <c r="Q13" s="7">
        <f>(Q9)+(Q12)</f>
        <v>0</v>
      </c>
      <c r="R13" s="7">
        <f>(R9)+(R12)</f>
        <v>37020.83</v>
      </c>
      <c r="S13" s="8">
        <f t="shared" si="5"/>
        <v>0</v>
      </c>
      <c r="T13" s="7">
        <f>(T9)+(T12)</f>
        <v>0</v>
      </c>
      <c r="U13" s="7">
        <f>(U9)+(U12)</f>
        <v>37020.83</v>
      </c>
      <c r="V13" s="8">
        <f t="shared" si="6"/>
        <v>0</v>
      </c>
      <c r="W13" s="7">
        <f>(W9)+(W12)</f>
        <v>0</v>
      </c>
      <c r="X13" s="7">
        <f>(X9)+(X12)</f>
        <v>37020.83</v>
      </c>
      <c r="Y13" s="8">
        <f t="shared" si="7"/>
        <v>0</v>
      </c>
      <c r="Z13" s="7">
        <f>(Z9)+(Z12)</f>
        <v>0</v>
      </c>
      <c r="AA13" s="7">
        <f>(AA9)+(AA12)</f>
        <v>37020.83</v>
      </c>
      <c r="AB13" s="8">
        <f t="shared" si="8"/>
        <v>0</v>
      </c>
      <c r="AC13" s="7">
        <f>(AC9)+(AC12)</f>
        <v>0</v>
      </c>
      <c r="AD13" s="7">
        <f>(AD9)+(AD12)</f>
        <v>37020.83</v>
      </c>
      <c r="AE13" s="8">
        <f t="shared" si="9"/>
        <v>0</v>
      </c>
      <c r="AF13" s="7">
        <f>(AF9)+(AF12)</f>
        <v>0</v>
      </c>
      <c r="AG13" s="7">
        <f>(AG9)+(AG12)</f>
        <v>37020.83</v>
      </c>
      <c r="AH13" s="8">
        <f t="shared" si="10"/>
        <v>0</v>
      </c>
      <c r="AI13" s="7">
        <f>(AI9)+(AI12)</f>
        <v>0</v>
      </c>
      <c r="AJ13" s="7">
        <f>(AJ9)+(AJ12)</f>
        <v>37020.870000000003</v>
      </c>
      <c r="AK13" s="8">
        <f t="shared" si="11"/>
        <v>0</v>
      </c>
      <c r="AL13" s="7">
        <f t="shared" si="12"/>
        <v>171660.18</v>
      </c>
      <c r="AM13" s="7">
        <f t="shared" si="13"/>
        <v>444250.00000000012</v>
      </c>
      <c r="AN13" s="8">
        <f t="shared" si="14"/>
        <v>0.38640445694991549</v>
      </c>
    </row>
    <row r="14" spans="1:40" x14ac:dyDescent="0.25">
      <c r="A14" s="3" t="s">
        <v>23</v>
      </c>
      <c r="B14" s="6">
        <f>850</f>
        <v>850</v>
      </c>
      <c r="C14" s="6">
        <f>583.33</f>
        <v>583.33000000000004</v>
      </c>
      <c r="D14" s="5">
        <f t="shared" si="0"/>
        <v>1.4571511837210498</v>
      </c>
      <c r="E14" s="6">
        <f>1125</f>
        <v>1125</v>
      </c>
      <c r="F14" s="6">
        <f>583.33</f>
        <v>583.33000000000004</v>
      </c>
      <c r="G14" s="5">
        <f t="shared" si="1"/>
        <v>1.9285824490425658</v>
      </c>
      <c r="H14" s="6">
        <f>600</f>
        <v>600</v>
      </c>
      <c r="I14" s="6">
        <f>583.33</f>
        <v>583.33000000000004</v>
      </c>
      <c r="J14" s="5">
        <f t="shared" si="2"/>
        <v>1.028577306156035</v>
      </c>
      <c r="K14" s="6">
        <f>300</f>
        <v>300</v>
      </c>
      <c r="L14" s="6">
        <f>583.33</f>
        <v>583.33000000000004</v>
      </c>
      <c r="M14" s="5">
        <f t="shared" si="3"/>
        <v>0.51428865307801752</v>
      </c>
      <c r="N14" s="4"/>
      <c r="O14" s="6">
        <f>583.33</f>
        <v>583.33000000000004</v>
      </c>
      <c r="P14" s="5">
        <f t="shared" si="4"/>
        <v>0</v>
      </c>
      <c r="Q14" s="4"/>
      <c r="R14" s="6">
        <f>583.33</f>
        <v>583.33000000000004</v>
      </c>
      <c r="S14" s="5">
        <f t="shared" si="5"/>
        <v>0</v>
      </c>
      <c r="T14" s="4"/>
      <c r="U14" s="6">
        <f>583.33</f>
        <v>583.33000000000004</v>
      </c>
      <c r="V14" s="5">
        <f t="shared" si="6"/>
        <v>0</v>
      </c>
      <c r="W14" s="4"/>
      <c r="X14" s="6">
        <f>583.33</f>
        <v>583.33000000000004</v>
      </c>
      <c r="Y14" s="5">
        <f t="shared" si="7"/>
        <v>0</v>
      </c>
      <c r="Z14" s="4"/>
      <c r="AA14" s="6">
        <f>583.33</f>
        <v>583.33000000000004</v>
      </c>
      <c r="AB14" s="5">
        <f t="shared" si="8"/>
        <v>0</v>
      </c>
      <c r="AC14" s="4"/>
      <c r="AD14" s="6">
        <f>583.33</f>
        <v>583.33000000000004</v>
      </c>
      <c r="AE14" s="5">
        <f t="shared" si="9"/>
        <v>0</v>
      </c>
      <c r="AF14" s="4"/>
      <c r="AG14" s="6">
        <f>583.33</f>
        <v>583.33000000000004</v>
      </c>
      <c r="AH14" s="5">
        <f t="shared" si="10"/>
        <v>0</v>
      </c>
      <c r="AI14" s="4"/>
      <c r="AJ14" s="6">
        <f>583.37</f>
        <v>583.37</v>
      </c>
      <c r="AK14" s="5">
        <f t="shared" si="11"/>
        <v>0</v>
      </c>
      <c r="AL14" s="6">
        <f t="shared" si="12"/>
        <v>2875</v>
      </c>
      <c r="AM14" s="6">
        <f t="shared" si="13"/>
        <v>7000</v>
      </c>
      <c r="AN14" s="5">
        <f t="shared" si="14"/>
        <v>0.4107142857142857</v>
      </c>
    </row>
    <row r="15" spans="1:40" x14ac:dyDescent="0.25">
      <c r="A15" s="3" t="s">
        <v>24</v>
      </c>
      <c r="B15" s="4"/>
      <c r="C15" s="6">
        <f>3250</f>
        <v>3250</v>
      </c>
      <c r="D15" s="5">
        <f t="shared" si="0"/>
        <v>0</v>
      </c>
      <c r="E15" s="4"/>
      <c r="F15" s="6">
        <f>3250</f>
        <v>3250</v>
      </c>
      <c r="G15" s="5">
        <f t="shared" si="1"/>
        <v>0</v>
      </c>
      <c r="H15" s="4"/>
      <c r="I15" s="6">
        <f>3250</f>
        <v>3250</v>
      </c>
      <c r="J15" s="5">
        <f t="shared" si="2"/>
        <v>0</v>
      </c>
      <c r="K15" s="4"/>
      <c r="L15" s="6">
        <f>3250</f>
        <v>3250</v>
      </c>
      <c r="M15" s="5">
        <f t="shared" si="3"/>
        <v>0</v>
      </c>
      <c r="N15" s="4"/>
      <c r="O15" s="6">
        <f>3250</f>
        <v>3250</v>
      </c>
      <c r="P15" s="5">
        <f t="shared" si="4"/>
        <v>0</v>
      </c>
      <c r="Q15" s="4"/>
      <c r="R15" s="6">
        <f>3250</f>
        <v>3250</v>
      </c>
      <c r="S15" s="5">
        <f t="shared" si="5"/>
        <v>0</v>
      </c>
      <c r="T15" s="4"/>
      <c r="U15" s="6">
        <f>3250</f>
        <v>3250</v>
      </c>
      <c r="V15" s="5">
        <f t="shared" si="6"/>
        <v>0</v>
      </c>
      <c r="W15" s="4"/>
      <c r="X15" s="6">
        <f>3250</f>
        <v>3250</v>
      </c>
      <c r="Y15" s="5">
        <f t="shared" si="7"/>
        <v>0</v>
      </c>
      <c r="Z15" s="4"/>
      <c r="AA15" s="6">
        <f>3250</f>
        <v>3250</v>
      </c>
      <c r="AB15" s="5">
        <f t="shared" si="8"/>
        <v>0</v>
      </c>
      <c r="AC15" s="4"/>
      <c r="AD15" s="6">
        <f>3250</f>
        <v>3250</v>
      </c>
      <c r="AE15" s="5">
        <f t="shared" si="9"/>
        <v>0</v>
      </c>
      <c r="AF15" s="4"/>
      <c r="AG15" s="6">
        <f>3250</f>
        <v>3250</v>
      </c>
      <c r="AH15" s="5">
        <f t="shared" si="10"/>
        <v>0</v>
      </c>
      <c r="AI15" s="4"/>
      <c r="AJ15" s="6">
        <f>3250</f>
        <v>3250</v>
      </c>
      <c r="AK15" s="5">
        <f t="shared" si="11"/>
        <v>0</v>
      </c>
      <c r="AL15" s="6">
        <f t="shared" si="12"/>
        <v>0</v>
      </c>
      <c r="AM15" s="6">
        <f t="shared" si="13"/>
        <v>39000</v>
      </c>
      <c r="AN15" s="5">
        <f t="shared" si="14"/>
        <v>0</v>
      </c>
    </row>
    <row r="16" spans="1:40" x14ac:dyDescent="0.25">
      <c r="A16" s="3" t="s">
        <v>25</v>
      </c>
      <c r="B16" s="7">
        <f>(((B8)+(B13))+(B14))+(B15)</f>
        <v>58097.82</v>
      </c>
      <c r="C16" s="7">
        <f>(((C8)+(C13))+(C14))+(C15)</f>
        <v>40854.160000000003</v>
      </c>
      <c r="D16" s="8">
        <f t="shared" si="0"/>
        <v>1.4220784370551247</v>
      </c>
      <c r="E16" s="7">
        <f>(((E8)+(E13))+(E14))+(E15)</f>
        <v>39423</v>
      </c>
      <c r="F16" s="7">
        <f>(((F8)+(F13))+(F14))+(F15)</f>
        <v>40854.160000000003</v>
      </c>
      <c r="G16" s="8">
        <f t="shared" si="1"/>
        <v>0.96496905088735141</v>
      </c>
      <c r="H16" s="7">
        <f>(((H8)+(H13))+(H14))+(H15)</f>
        <v>16818.11</v>
      </c>
      <c r="I16" s="7">
        <f>(((I8)+(I13))+(I14))+(I15)</f>
        <v>40854.160000000003</v>
      </c>
      <c r="J16" s="8">
        <f t="shared" si="2"/>
        <v>0.41166211715037093</v>
      </c>
      <c r="K16" s="7">
        <f>(((K8)+(K13))+(K14))+(K15)</f>
        <v>60196.25</v>
      </c>
      <c r="L16" s="7">
        <f>(((L8)+(L13))+(L14))+(L15)</f>
        <v>40854.160000000003</v>
      </c>
      <c r="M16" s="8">
        <f t="shared" si="3"/>
        <v>1.4734423618059946</v>
      </c>
      <c r="N16" s="7">
        <f>(((N8)+(N13))+(N14))+(N15)</f>
        <v>0</v>
      </c>
      <c r="O16" s="7">
        <f>(((O8)+(O13))+(O14))+(O15)</f>
        <v>40854.160000000003</v>
      </c>
      <c r="P16" s="8">
        <f t="shared" si="4"/>
        <v>0</v>
      </c>
      <c r="Q16" s="7">
        <f>(((Q8)+(Q13))+(Q14))+(Q15)</f>
        <v>0</v>
      </c>
      <c r="R16" s="7">
        <f>(((R8)+(R13))+(R14))+(R15)</f>
        <v>40854.160000000003</v>
      </c>
      <c r="S16" s="8">
        <f t="shared" si="5"/>
        <v>0</v>
      </c>
      <c r="T16" s="7">
        <f>(((T8)+(T13))+(T14))+(T15)</f>
        <v>0</v>
      </c>
      <c r="U16" s="7">
        <f>(((U8)+(U13))+(U14))+(U15)</f>
        <v>40854.160000000003</v>
      </c>
      <c r="V16" s="8">
        <f t="shared" si="6"/>
        <v>0</v>
      </c>
      <c r="W16" s="7">
        <f>(((W8)+(W13))+(W14))+(W15)</f>
        <v>0</v>
      </c>
      <c r="X16" s="7">
        <f>(((X8)+(X13))+(X14))+(X15)</f>
        <v>40854.160000000003</v>
      </c>
      <c r="Y16" s="8">
        <f t="shared" si="7"/>
        <v>0</v>
      </c>
      <c r="Z16" s="7">
        <f>(((Z8)+(Z13))+(Z14))+(Z15)</f>
        <v>0</v>
      </c>
      <c r="AA16" s="7">
        <f>(((AA8)+(AA13))+(AA14))+(AA15)</f>
        <v>40854.160000000003</v>
      </c>
      <c r="AB16" s="8">
        <f t="shared" si="8"/>
        <v>0</v>
      </c>
      <c r="AC16" s="7">
        <f>(((AC8)+(AC13))+(AC14))+(AC15)</f>
        <v>0</v>
      </c>
      <c r="AD16" s="7">
        <f>(((AD8)+(AD13))+(AD14))+(AD15)</f>
        <v>40854.160000000003</v>
      </c>
      <c r="AE16" s="8">
        <f t="shared" si="9"/>
        <v>0</v>
      </c>
      <c r="AF16" s="7">
        <f>(((AF8)+(AF13))+(AF14))+(AF15)</f>
        <v>0</v>
      </c>
      <c r="AG16" s="7">
        <f>(((AG8)+(AG13))+(AG14))+(AG15)</f>
        <v>40854.160000000003</v>
      </c>
      <c r="AH16" s="8">
        <f t="shared" si="10"/>
        <v>0</v>
      </c>
      <c r="AI16" s="7">
        <f>(((AI8)+(AI13))+(AI14))+(AI15)</f>
        <v>0</v>
      </c>
      <c r="AJ16" s="7">
        <f>(((AJ8)+(AJ13))+(AJ14))+(AJ15)</f>
        <v>40854.240000000005</v>
      </c>
      <c r="AK16" s="8">
        <f t="shared" si="11"/>
        <v>0</v>
      </c>
      <c r="AL16" s="7">
        <f t="shared" si="12"/>
        <v>174535.18</v>
      </c>
      <c r="AM16" s="7">
        <f t="shared" si="13"/>
        <v>490250.00000000012</v>
      </c>
      <c r="AN16" s="8">
        <f t="shared" si="14"/>
        <v>0.35601260581336042</v>
      </c>
    </row>
    <row r="17" spans="1:40" x14ac:dyDescent="0.25">
      <c r="A17" s="3" t="s">
        <v>26</v>
      </c>
      <c r="B17" s="4"/>
      <c r="C17" s="6">
        <f>291.67</f>
        <v>291.67</v>
      </c>
      <c r="D17" s="5">
        <f t="shared" si="0"/>
        <v>0</v>
      </c>
      <c r="E17" s="4"/>
      <c r="F17" s="6">
        <f>291.67</f>
        <v>291.67</v>
      </c>
      <c r="G17" s="5">
        <f t="shared" si="1"/>
        <v>0</v>
      </c>
      <c r="H17" s="4"/>
      <c r="I17" s="6">
        <f>291.67</f>
        <v>291.67</v>
      </c>
      <c r="J17" s="5">
        <f t="shared" si="2"/>
        <v>0</v>
      </c>
      <c r="K17" s="4"/>
      <c r="L17" s="6">
        <f>291.67</f>
        <v>291.67</v>
      </c>
      <c r="M17" s="5">
        <f t="shared" si="3"/>
        <v>0</v>
      </c>
      <c r="N17" s="4"/>
      <c r="O17" s="6">
        <f>291.67</f>
        <v>291.67</v>
      </c>
      <c r="P17" s="5">
        <f t="shared" si="4"/>
        <v>0</v>
      </c>
      <c r="Q17" s="4"/>
      <c r="R17" s="6">
        <f>291.67</f>
        <v>291.67</v>
      </c>
      <c r="S17" s="5">
        <f t="shared" si="5"/>
        <v>0</v>
      </c>
      <c r="T17" s="4"/>
      <c r="U17" s="6">
        <f>291.67</f>
        <v>291.67</v>
      </c>
      <c r="V17" s="5">
        <f t="shared" si="6"/>
        <v>0</v>
      </c>
      <c r="W17" s="4"/>
      <c r="X17" s="6">
        <f>291.67</f>
        <v>291.67</v>
      </c>
      <c r="Y17" s="5">
        <f t="shared" si="7"/>
        <v>0</v>
      </c>
      <c r="Z17" s="4"/>
      <c r="AA17" s="6">
        <f>291.67</f>
        <v>291.67</v>
      </c>
      <c r="AB17" s="5">
        <f t="shared" si="8"/>
        <v>0</v>
      </c>
      <c r="AC17" s="4"/>
      <c r="AD17" s="6">
        <f>291.67</f>
        <v>291.67</v>
      </c>
      <c r="AE17" s="5">
        <f t="shared" si="9"/>
        <v>0</v>
      </c>
      <c r="AF17" s="4"/>
      <c r="AG17" s="6">
        <f>291.67</f>
        <v>291.67</v>
      </c>
      <c r="AH17" s="5">
        <f t="shared" si="10"/>
        <v>0</v>
      </c>
      <c r="AI17" s="4"/>
      <c r="AJ17" s="6">
        <f>291.63</f>
        <v>291.63</v>
      </c>
      <c r="AK17" s="5">
        <f t="shared" si="11"/>
        <v>0</v>
      </c>
      <c r="AL17" s="6">
        <f t="shared" si="12"/>
        <v>0</v>
      </c>
      <c r="AM17" s="6">
        <f t="shared" si="13"/>
        <v>3500.0000000000005</v>
      </c>
      <c r="AN17" s="5">
        <f t="shared" si="14"/>
        <v>0</v>
      </c>
    </row>
    <row r="18" spans="1:40" x14ac:dyDescent="0.25">
      <c r="A18" s="3" t="s">
        <v>27</v>
      </c>
      <c r="B18" s="4"/>
      <c r="C18" s="6">
        <f>150</f>
        <v>150</v>
      </c>
      <c r="D18" s="5">
        <f t="shared" si="0"/>
        <v>0</v>
      </c>
      <c r="E18" s="4"/>
      <c r="F18" s="6">
        <f>150</f>
        <v>150</v>
      </c>
      <c r="G18" s="5">
        <f t="shared" si="1"/>
        <v>0</v>
      </c>
      <c r="H18" s="4"/>
      <c r="I18" s="6">
        <f>150</f>
        <v>150</v>
      </c>
      <c r="J18" s="5">
        <f t="shared" si="2"/>
        <v>0</v>
      </c>
      <c r="K18" s="4"/>
      <c r="L18" s="6">
        <f>150</f>
        <v>150</v>
      </c>
      <c r="M18" s="5">
        <f t="shared" si="3"/>
        <v>0</v>
      </c>
      <c r="N18" s="4"/>
      <c r="O18" s="6">
        <f>150</f>
        <v>150</v>
      </c>
      <c r="P18" s="5">
        <f t="shared" si="4"/>
        <v>0</v>
      </c>
      <c r="Q18" s="4"/>
      <c r="R18" s="6">
        <f>150</f>
        <v>150</v>
      </c>
      <c r="S18" s="5">
        <f t="shared" si="5"/>
        <v>0</v>
      </c>
      <c r="T18" s="4"/>
      <c r="U18" s="6">
        <f>150</f>
        <v>150</v>
      </c>
      <c r="V18" s="5">
        <f t="shared" si="6"/>
        <v>0</v>
      </c>
      <c r="W18" s="4"/>
      <c r="X18" s="6">
        <f>150</f>
        <v>150</v>
      </c>
      <c r="Y18" s="5">
        <f t="shared" si="7"/>
        <v>0</v>
      </c>
      <c r="Z18" s="4"/>
      <c r="AA18" s="6">
        <f>150</f>
        <v>150</v>
      </c>
      <c r="AB18" s="5">
        <f t="shared" si="8"/>
        <v>0</v>
      </c>
      <c r="AC18" s="4"/>
      <c r="AD18" s="6">
        <f>150</f>
        <v>150</v>
      </c>
      <c r="AE18" s="5">
        <f t="shared" si="9"/>
        <v>0</v>
      </c>
      <c r="AF18" s="4"/>
      <c r="AG18" s="6">
        <f>150</f>
        <v>150</v>
      </c>
      <c r="AH18" s="5">
        <f t="shared" si="10"/>
        <v>0</v>
      </c>
      <c r="AI18" s="4"/>
      <c r="AJ18" s="6">
        <f>150</f>
        <v>150</v>
      </c>
      <c r="AK18" s="5">
        <f t="shared" si="11"/>
        <v>0</v>
      </c>
      <c r="AL18" s="6">
        <f t="shared" si="12"/>
        <v>0</v>
      </c>
      <c r="AM18" s="6">
        <f t="shared" si="13"/>
        <v>1800</v>
      </c>
      <c r="AN18" s="5">
        <f t="shared" si="14"/>
        <v>0</v>
      </c>
    </row>
    <row r="19" spans="1:40" x14ac:dyDescent="0.25">
      <c r="A19" s="3" t="s">
        <v>28</v>
      </c>
      <c r="B19" s="4"/>
      <c r="C19" s="6">
        <f>2083.33</f>
        <v>2083.33</v>
      </c>
      <c r="D19" s="5">
        <f t="shared" si="0"/>
        <v>0</v>
      </c>
      <c r="E19" s="4"/>
      <c r="F19" s="6">
        <f>2083.33</f>
        <v>2083.33</v>
      </c>
      <c r="G19" s="5">
        <f t="shared" si="1"/>
        <v>0</v>
      </c>
      <c r="H19" s="4"/>
      <c r="I19" s="6">
        <f>2083.33</f>
        <v>2083.33</v>
      </c>
      <c r="J19" s="5">
        <f t="shared" si="2"/>
        <v>0</v>
      </c>
      <c r="K19" s="4"/>
      <c r="L19" s="6">
        <f>2083.33</f>
        <v>2083.33</v>
      </c>
      <c r="M19" s="5">
        <f t="shared" si="3"/>
        <v>0</v>
      </c>
      <c r="N19" s="4"/>
      <c r="O19" s="6">
        <f>2083.33</f>
        <v>2083.33</v>
      </c>
      <c r="P19" s="5">
        <f t="shared" si="4"/>
        <v>0</v>
      </c>
      <c r="Q19" s="4"/>
      <c r="R19" s="6">
        <f>2083.33</f>
        <v>2083.33</v>
      </c>
      <c r="S19" s="5">
        <f t="shared" si="5"/>
        <v>0</v>
      </c>
      <c r="T19" s="4"/>
      <c r="U19" s="6">
        <f>2083.33</f>
        <v>2083.33</v>
      </c>
      <c r="V19" s="5">
        <f t="shared" si="6"/>
        <v>0</v>
      </c>
      <c r="W19" s="4"/>
      <c r="X19" s="6">
        <f>2083.33</f>
        <v>2083.33</v>
      </c>
      <c r="Y19" s="5">
        <f t="shared" si="7"/>
        <v>0</v>
      </c>
      <c r="Z19" s="4"/>
      <c r="AA19" s="6">
        <f>2083.33</f>
        <v>2083.33</v>
      </c>
      <c r="AB19" s="5">
        <f t="shared" si="8"/>
        <v>0</v>
      </c>
      <c r="AC19" s="4"/>
      <c r="AD19" s="6">
        <f>2083.33</f>
        <v>2083.33</v>
      </c>
      <c r="AE19" s="5">
        <f t="shared" si="9"/>
        <v>0</v>
      </c>
      <c r="AF19" s="4"/>
      <c r="AG19" s="6">
        <f>2083.33</f>
        <v>2083.33</v>
      </c>
      <c r="AH19" s="5">
        <f t="shared" si="10"/>
        <v>0</v>
      </c>
      <c r="AI19" s="4"/>
      <c r="AJ19" s="6">
        <f>2083.37</f>
        <v>2083.37</v>
      </c>
      <c r="AK19" s="5">
        <f t="shared" si="11"/>
        <v>0</v>
      </c>
      <c r="AL19" s="6">
        <f t="shared" si="12"/>
        <v>0</v>
      </c>
      <c r="AM19" s="6">
        <f t="shared" si="13"/>
        <v>25000.000000000004</v>
      </c>
      <c r="AN19" s="5">
        <f t="shared" si="14"/>
        <v>0</v>
      </c>
    </row>
    <row r="20" spans="1:40" x14ac:dyDescent="0.25">
      <c r="A20" s="3" t="s">
        <v>29</v>
      </c>
      <c r="B20" s="4"/>
      <c r="C20" s="6">
        <f>45.83</f>
        <v>45.83</v>
      </c>
      <c r="D20" s="5">
        <f t="shared" si="0"/>
        <v>0</v>
      </c>
      <c r="E20" s="4"/>
      <c r="F20" s="6">
        <f>45.83</f>
        <v>45.83</v>
      </c>
      <c r="G20" s="5">
        <f t="shared" si="1"/>
        <v>0</v>
      </c>
      <c r="H20" s="4"/>
      <c r="I20" s="6">
        <f>45.83</f>
        <v>45.83</v>
      </c>
      <c r="J20" s="5">
        <f t="shared" si="2"/>
        <v>0</v>
      </c>
      <c r="K20" s="4"/>
      <c r="L20" s="6">
        <f>45.83</f>
        <v>45.83</v>
      </c>
      <c r="M20" s="5">
        <f t="shared" si="3"/>
        <v>0</v>
      </c>
      <c r="N20" s="4"/>
      <c r="O20" s="6">
        <f>45.83</f>
        <v>45.83</v>
      </c>
      <c r="P20" s="5">
        <f t="shared" si="4"/>
        <v>0</v>
      </c>
      <c r="Q20" s="4"/>
      <c r="R20" s="6">
        <f>45.83</f>
        <v>45.83</v>
      </c>
      <c r="S20" s="5">
        <f t="shared" si="5"/>
        <v>0</v>
      </c>
      <c r="T20" s="4"/>
      <c r="U20" s="6">
        <f>45.83</f>
        <v>45.83</v>
      </c>
      <c r="V20" s="5">
        <f t="shared" si="6"/>
        <v>0</v>
      </c>
      <c r="W20" s="4"/>
      <c r="X20" s="6">
        <f>45.83</f>
        <v>45.83</v>
      </c>
      <c r="Y20" s="5">
        <f t="shared" si="7"/>
        <v>0</v>
      </c>
      <c r="Z20" s="4"/>
      <c r="AA20" s="6">
        <f>45.83</f>
        <v>45.83</v>
      </c>
      <c r="AB20" s="5">
        <f t="shared" si="8"/>
        <v>0</v>
      </c>
      <c r="AC20" s="4"/>
      <c r="AD20" s="6">
        <f>45.83</f>
        <v>45.83</v>
      </c>
      <c r="AE20" s="5">
        <f t="shared" si="9"/>
        <v>0</v>
      </c>
      <c r="AF20" s="4"/>
      <c r="AG20" s="6">
        <f>45.83</f>
        <v>45.83</v>
      </c>
      <c r="AH20" s="5">
        <f t="shared" si="10"/>
        <v>0</v>
      </c>
      <c r="AI20" s="4"/>
      <c r="AJ20" s="6">
        <f>45.87</f>
        <v>45.87</v>
      </c>
      <c r="AK20" s="5">
        <f t="shared" si="11"/>
        <v>0</v>
      </c>
      <c r="AL20" s="6">
        <f t="shared" si="12"/>
        <v>0</v>
      </c>
      <c r="AM20" s="6">
        <f t="shared" si="13"/>
        <v>549.99999999999989</v>
      </c>
      <c r="AN20" s="5">
        <f t="shared" si="14"/>
        <v>0</v>
      </c>
    </row>
    <row r="21" spans="1:40" x14ac:dyDescent="0.25">
      <c r="A21" s="3" t="s">
        <v>30</v>
      </c>
      <c r="B21" s="4"/>
      <c r="C21" s="6">
        <f>229.17</f>
        <v>229.17</v>
      </c>
      <c r="D21" s="5">
        <f t="shared" si="0"/>
        <v>0</v>
      </c>
      <c r="E21" s="4"/>
      <c r="F21" s="6">
        <f>229.17</f>
        <v>229.17</v>
      </c>
      <c r="G21" s="5">
        <f t="shared" si="1"/>
        <v>0</v>
      </c>
      <c r="H21" s="4"/>
      <c r="I21" s="6">
        <f>229.17</f>
        <v>229.17</v>
      </c>
      <c r="J21" s="5">
        <f t="shared" si="2"/>
        <v>0</v>
      </c>
      <c r="K21" s="4"/>
      <c r="L21" s="6">
        <f>229.17</f>
        <v>229.17</v>
      </c>
      <c r="M21" s="5">
        <f t="shared" si="3"/>
        <v>0</v>
      </c>
      <c r="N21" s="4"/>
      <c r="O21" s="6">
        <f>229.17</f>
        <v>229.17</v>
      </c>
      <c r="P21" s="5">
        <f t="shared" si="4"/>
        <v>0</v>
      </c>
      <c r="Q21" s="4"/>
      <c r="R21" s="6">
        <f>229.17</f>
        <v>229.17</v>
      </c>
      <c r="S21" s="5">
        <f t="shared" si="5"/>
        <v>0</v>
      </c>
      <c r="T21" s="4"/>
      <c r="U21" s="6">
        <f>229.17</f>
        <v>229.17</v>
      </c>
      <c r="V21" s="5">
        <f t="shared" si="6"/>
        <v>0</v>
      </c>
      <c r="W21" s="4"/>
      <c r="X21" s="6">
        <f>229.17</f>
        <v>229.17</v>
      </c>
      <c r="Y21" s="5">
        <f t="shared" si="7"/>
        <v>0</v>
      </c>
      <c r="Z21" s="4"/>
      <c r="AA21" s="6">
        <f>229.17</f>
        <v>229.17</v>
      </c>
      <c r="AB21" s="5">
        <f t="shared" si="8"/>
        <v>0</v>
      </c>
      <c r="AC21" s="4"/>
      <c r="AD21" s="6">
        <f>229.17</f>
        <v>229.17</v>
      </c>
      <c r="AE21" s="5">
        <f t="shared" si="9"/>
        <v>0</v>
      </c>
      <c r="AF21" s="4"/>
      <c r="AG21" s="6">
        <f>229.17</f>
        <v>229.17</v>
      </c>
      <c r="AH21" s="5">
        <f t="shared" si="10"/>
        <v>0</v>
      </c>
      <c r="AI21" s="4"/>
      <c r="AJ21" s="6">
        <f>229.13</f>
        <v>229.13</v>
      </c>
      <c r="AK21" s="5">
        <f t="shared" si="11"/>
        <v>0</v>
      </c>
      <c r="AL21" s="6">
        <f t="shared" si="12"/>
        <v>0</v>
      </c>
      <c r="AM21" s="6">
        <f t="shared" si="13"/>
        <v>2750.0000000000005</v>
      </c>
      <c r="AN21" s="5">
        <f t="shared" si="14"/>
        <v>0</v>
      </c>
    </row>
    <row r="22" spans="1:40" x14ac:dyDescent="0.25">
      <c r="A22" s="3" t="s">
        <v>31</v>
      </c>
      <c r="B22" s="4"/>
      <c r="C22" s="6">
        <f>666.67</f>
        <v>666.67</v>
      </c>
      <c r="D22" s="5">
        <f t="shared" si="0"/>
        <v>0</v>
      </c>
      <c r="E22" s="4"/>
      <c r="F22" s="6">
        <f>666.67</f>
        <v>666.67</v>
      </c>
      <c r="G22" s="5">
        <f t="shared" si="1"/>
        <v>0</v>
      </c>
      <c r="H22" s="4"/>
      <c r="I22" s="6">
        <f>666.67</f>
        <v>666.67</v>
      </c>
      <c r="J22" s="5">
        <f t="shared" si="2"/>
        <v>0</v>
      </c>
      <c r="K22" s="4"/>
      <c r="L22" s="6">
        <f>666.67</f>
        <v>666.67</v>
      </c>
      <c r="M22" s="5">
        <f t="shared" si="3"/>
        <v>0</v>
      </c>
      <c r="N22" s="4"/>
      <c r="O22" s="6">
        <f>666.67</f>
        <v>666.67</v>
      </c>
      <c r="P22" s="5">
        <f t="shared" si="4"/>
        <v>0</v>
      </c>
      <c r="Q22" s="4"/>
      <c r="R22" s="6">
        <f>666.67</f>
        <v>666.67</v>
      </c>
      <c r="S22" s="5">
        <f t="shared" si="5"/>
        <v>0</v>
      </c>
      <c r="T22" s="4"/>
      <c r="U22" s="6">
        <f>666.67</f>
        <v>666.67</v>
      </c>
      <c r="V22" s="5">
        <f t="shared" si="6"/>
        <v>0</v>
      </c>
      <c r="W22" s="4"/>
      <c r="X22" s="6">
        <f>666.67</f>
        <v>666.67</v>
      </c>
      <c r="Y22" s="5">
        <f t="shared" si="7"/>
        <v>0</v>
      </c>
      <c r="Z22" s="4"/>
      <c r="AA22" s="6">
        <f>666.67</f>
        <v>666.67</v>
      </c>
      <c r="AB22" s="5">
        <f t="shared" si="8"/>
        <v>0</v>
      </c>
      <c r="AC22" s="4"/>
      <c r="AD22" s="6">
        <f>666.67</f>
        <v>666.67</v>
      </c>
      <c r="AE22" s="5">
        <f t="shared" si="9"/>
        <v>0</v>
      </c>
      <c r="AF22" s="4"/>
      <c r="AG22" s="6">
        <f>666.67</f>
        <v>666.67</v>
      </c>
      <c r="AH22" s="5">
        <f t="shared" si="10"/>
        <v>0</v>
      </c>
      <c r="AI22" s="4"/>
      <c r="AJ22" s="6">
        <f>666.63</f>
        <v>666.63</v>
      </c>
      <c r="AK22" s="5">
        <f t="shared" si="11"/>
        <v>0</v>
      </c>
      <c r="AL22" s="6">
        <f t="shared" si="12"/>
        <v>0</v>
      </c>
      <c r="AM22" s="6">
        <f t="shared" si="13"/>
        <v>8000</v>
      </c>
      <c r="AN22" s="5">
        <f t="shared" si="14"/>
        <v>0</v>
      </c>
    </row>
    <row r="23" spans="1:40" x14ac:dyDescent="0.25">
      <c r="A23" s="3" t="s">
        <v>32</v>
      </c>
      <c r="B23" s="4"/>
      <c r="C23" s="6">
        <f>12.5</f>
        <v>12.5</v>
      </c>
      <c r="D23" s="5">
        <f t="shared" si="0"/>
        <v>0</v>
      </c>
      <c r="E23" s="4"/>
      <c r="F23" s="6">
        <f>12.5</f>
        <v>12.5</v>
      </c>
      <c r="G23" s="5">
        <f t="shared" si="1"/>
        <v>0</v>
      </c>
      <c r="H23" s="4"/>
      <c r="I23" s="6">
        <f>12.5</f>
        <v>12.5</v>
      </c>
      <c r="J23" s="5">
        <f t="shared" si="2"/>
        <v>0</v>
      </c>
      <c r="K23" s="4"/>
      <c r="L23" s="6">
        <f>12.5</f>
        <v>12.5</v>
      </c>
      <c r="M23" s="5">
        <f t="shared" si="3"/>
        <v>0</v>
      </c>
      <c r="N23" s="4"/>
      <c r="O23" s="6">
        <f>12.5</f>
        <v>12.5</v>
      </c>
      <c r="P23" s="5">
        <f t="shared" si="4"/>
        <v>0</v>
      </c>
      <c r="Q23" s="4"/>
      <c r="R23" s="6">
        <f>12.5</f>
        <v>12.5</v>
      </c>
      <c r="S23" s="5">
        <f t="shared" si="5"/>
        <v>0</v>
      </c>
      <c r="T23" s="4"/>
      <c r="U23" s="6">
        <f>12.5</f>
        <v>12.5</v>
      </c>
      <c r="V23" s="5">
        <f t="shared" si="6"/>
        <v>0</v>
      </c>
      <c r="W23" s="4"/>
      <c r="X23" s="6">
        <f>12.5</f>
        <v>12.5</v>
      </c>
      <c r="Y23" s="5">
        <f t="shared" si="7"/>
        <v>0</v>
      </c>
      <c r="Z23" s="4"/>
      <c r="AA23" s="6">
        <f>12.5</f>
        <v>12.5</v>
      </c>
      <c r="AB23" s="5">
        <f t="shared" si="8"/>
        <v>0</v>
      </c>
      <c r="AC23" s="4"/>
      <c r="AD23" s="6">
        <f>12.5</f>
        <v>12.5</v>
      </c>
      <c r="AE23" s="5">
        <f t="shared" si="9"/>
        <v>0</v>
      </c>
      <c r="AF23" s="4"/>
      <c r="AG23" s="6">
        <f>12.5</f>
        <v>12.5</v>
      </c>
      <c r="AH23" s="5">
        <f t="shared" si="10"/>
        <v>0</v>
      </c>
      <c r="AI23" s="4"/>
      <c r="AJ23" s="6">
        <f>12.5</f>
        <v>12.5</v>
      </c>
      <c r="AK23" s="5">
        <f t="shared" si="11"/>
        <v>0</v>
      </c>
      <c r="AL23" s="6">
        <f t="shared" si="12"/>
        <v>0</v>
      </c>
      <c r="AM23" s="6">
        <f t="shared" si="13"/>
        <v>150</v>
      </c>
      <c r="AN23" s="5">
        <f t="shared" si="14"/>
        <v>0</v>
      </c>
    </row>
    <row r="24" spans="1:40" x14ac:dyDescent="0.25">
      <c r="A24" s="3" t="s">
        <v>33</v>
      </c>
      <c r="B24" s="4"/>
      <c r="C24" s="6">
        <f>0</f>
        <v>0</v>
      </c>
      <c r="D24" s="5" t="str">
        <f t="shared" si="0"/>
        <v/>
      </c>
      <c r="E24" s="4"/>
      <c r="F24" s="6">
        <f>0</f>
        <v>0</v>
      </c>
      <c r="G24" s="5" t="str">
        <f t="shared" si="1"/>
        <v/>
      </c>
      <c r="H24" s="4"/>
      <c r="I24" s="6">
        <f>0</f>
        <v>0</v>
      </c>
      <c r="J24" s="5" t="str">
        <f t="shared" si="2"/>
        <v/>
      </c>
      <c r="K24" s="4"/>
      <c r="L24" s="6">
        <f>0</f>
        <v>0</v>
      </c>
      <c r="M24" s="5" t="str">
        <f t="shared" si="3"/>
        <v/>
      </c>
      <c r="N24" s="4"/>
      <c r="O24" s="6">
        <f>0</f>
        <v>0</v>
      </c>
      <c r="P24" s="5" t="str">
        <f t="shared" si="4"/>
        <v/>
      </c>
      <c r="Q24" s="4"/>
      <c r="R24" s="6">
        <f>0</f>
        <v>0</v>
      </c>
      <c r="S24" s="5" t="str">
        <f t="shared" si="5"/>
        <v/>
      </c>
      <c r="T24" s="4"/>
      <c r="U24" s="6">
        <f>0</f>
        <v>0</v>
      </c>
      <c r="V24" s="5" t="str">
        <f t="shared" si="6"/>
        <v/>
      </c>
      <c r="W24" s="4"/>
      <c r="X24" s="6">
        <f>0</f>
        <v>0</v>
      </c>
      <c r="Y24" s="5" t="str">
        <f t="shared" si="7"/>
        <v/>
      </c>
      <c r="Z24" s="4"/>
      <c r="AA24" s="6">
        <f>0</f>
        <v>0</v>
      </c>
      <c r="AB24" s="5" t="str">
        <f t="shared" si="8"/>
        <v/>
      </c>
      <c r="AC24" s="4"/>
      <c r="AD24" s="6">
        <f>0</f>
        <v>0</v>
      </c>
      <c r="AE24" s="5" t="str">
        <f t="shared" si="9"/>
        <v/>
      </c>
      <c r="AF24" s="4"/>
      <c r="AG24" s="6">
        <f>0</f>
        <v>0</v>
      </c>
      <c r="AH24" s="5" t="str">
        <f t="shared" si="10"/>
        <v/>
      </c>
      <c r="AI24" s="4"/>
      <c r="AJ24" s="6">
        <f>0</f>
        <v>0</v>
      </c>
      <c r="AK24" s="5" t="str">
        <f t="shared" si="11"/>
        <v/>
      </c>
      <c r="AL24" s="6">
        <f t="shared" si="12"/>
        <v>0</v>
      </c>
      <c r="AM24" s="6">
        <f t="shared" si="13"/>
        <v>0</v>
      </c>
      <c r="AN24" s="5" t="str">
        <f t="shared" si="14"/>
        <v/>
      </c>
    </row>
    <row r="25" spans="1:40" x14ac:dyDescent="0.25">
      <c r="A25" s="3" t="s">
        <v>34</v>
      </c>
      <c r="B25" s="7">
        <f>(((((B19)+(B20))+(B21))+(B22))+(B23))+(B24)</f>
        <v>0</v>
      </c>
      <c r="C25" s="7">
        <f>(((((C19)+(C20))+(C21))+(C22))+(C23))+(C24)</f>
        <v>3037.5</v>
      </c>
      <c r="D25" s="8">
        <f t="shared" si="0"/>
        <v>0</v>
      </c>
      <c r="E25" s="7">
        <f>(((((E19)+(E20))+(E21))+(E22))+(E23))+(E24)</f>
        <v>0</v>
      </c>
      <c r="F25" s="7">
        <f>(((((F19)+(F20))+(F21))+(F22))+(F23))+(F24)</f>
        <v>3037.5</v>
      </c>
      <c r="G25" s="8">
        <f t="shared" si="1"/>
        <v>0</v>
      </c>
      <c r="H25" s="7">
        <f>(((((H19)+(H20))+(H21))+(H22))+(H23))+(H24)</f>
        <v>0</v>
      </c>
      <c r="I25" s="7">
        <f>(((((I19)+(I20))+(I21))+(I22))+(I23))+(I24)</f>
        <v>3037.5</v>
      </c>
      <c r="J25" s="8">
        <f t="shared" si="2"/>
        <v>0</v>
      </c>
      <c r="K25" s="7">
        <f>(((((K19)+(K20))+(K21))+(K22))+(K23))+(K24)</f>
        <v>0</v>
      </c>
      <c r="L25" s="7">
        <f>(((((L19)+(L20))+(L21))+(L22))+(L23))+(L24)</f>
        <v>3037.5</v>
      </c>
      <c r="M25" s="8">
        <f t="shared" si="3"/>
        <v>0</v>
      </c>
      <c r="N25" s="7">
        <f>(((((N19)+(N20))+(N21))+(N22))+(N23))+(N24)</f>
        <v>0</v>
      </c>
      <c r="O25" s="7">
        <f>(((((O19)+(O20))+(O21))+(O22))+(O23))+(O24)</f>
        <v>3037.5</v>
      </c>
      <c r="P25" s="8">
        <f t="shared" si="4"/>
        <v>0</v>
      </c>
      <c r="Q25" s="7">
        <f>(((((Q19)+(Q20))+(Q21))+(Q22))+(Q23))+(Q24)</f>
        <v>0</v>
      </c>
      <c r="R25" s="7">
        <f>(((((R19)+(R20))+(R21))+(R22))+(R23))+(R24)</f>
        <v>3037.5</v>
      </c>
      <c r="S25" s="8">
        <f t="shared" si="5"/>
        <v>0</v>
      </c>
      <c r="T25" s="7">
        <f>(((((T19)+(T20))+(T21))+(T22))+(T23))+(T24)</f>
        <v>0</v>
      </c>
      <c r="U25" s="7">
        <f>(((((U19)+(U20))+(U21))+(U22))+(U23))+(U24)</f>
        <v>3037.5</v>
      </c>
      <c r="V25" s="8">
        <f t="shared" si="6"/>
        <v>0</v>
      </c>
      <c r="W25" s="7">
        <f>(((((W19)+(W20))+(W21))+(W22))+(W23))+(W24)</f>
        <v>0</v>
      </c>
      <c r="X25" s="7">
        <f>(((((X19)+(X20))+(X21))+(X22))+(X23))+(X24)</f>
        <v>3037.5</v>
      </c>
      <c r="Y25" s="8">
        <f t="shared" si="7"/>
        <v>0</v>
      </c>
      <c r="Z25" s="7">
        <f>(((((Z19)+(Z20))+(Z21))+(Z22))+(Z23))+(Z24)</f>
        <v>0</v>
      </c>
      <c r="AA25" s="7">
        <f>(((((AA19)+(AA20))+(AA21))+(AA22))+(AA23))+(AA24)</f>
        <v>3037.5</v>
      </c>
      <c r="AB25" s="8">
        <f t="shared" si="8"/>
        <v>0</v>
      </c>
      <c r="AC25" s="7">
        <f>(((((AC19)+(AC20))+(AC21))+(AC22))+(AC23))+(AC24)</f>
        <v>0</v>
      </c>
      <c r="AD25" s="7">
        <f>(((((AD19)+(AD20))+(AD21))+(AD22))+(AD23))+(AD24)</f>
        <v>3037.5</v>
      </c>
      <c r="AE25" s="8">
        <f t="shared" si="9"/>
        <v>0</v>
      </c>
      <c r="AF25" s="7">
        <f>(((((AF19)+(AF20))+(AF21))+(AF22))+(AF23))+(AF24)</f>
        <v>0</v>
      </c>
      <c r="AG25" s="7">
        <f>(((((AG19)+(AG20))+(AG21))+(AG22))+(AG23))+(AG24)</f>
        <v>3037.5</v>
      </c>
      <c r="AH25" s="8">
        <f t="shared" si="10"/>
        <v>0</v>
      </c>
      <c r="AI25" s="7">
        <f>(((((AI19)+(AI20))+(AI21))+(AI22))+(AI23))+(AI24)</f>
        <v>0</v>
      </c>
      <c r="AJ25" s="7">
        <f>(((((AJ19)+(AJ20))+(AJ21))+(AJ22))+(AJ23))+(AJ24)</f>
        <v>3037.5</v>
      </c>
      <c r="AK25" s="8">
        <f t="shared" si="11"/>
        <v>0</v>
      </c>
      <c r="AL25" s="7">
        <f t="shared" si="12"/>
        <v>0</v>
      </c>
      <c r="AM25" s="7">
        <f t="shared" si="13"/>
        <v>36450</v>
      </c>
      <c r="AN25" s="8">
        <f t="shared" si="14"/>
        <v>0</v>
      </c>
    </row>
    <row r="26" spans="1:40" x14ac:dyDescent="0.25">
      <c r="A26" s="3" t="s">
        <v>35</v>
      </c>
      <c r="B26" s="4"/>
      <c r="C26" s="6">
        <f>2.5</f>
        <v>2.5</v>
      </c>
      <c r="D26" s="5">
        <f t="shared" si="0"/>
        <v>0</v>
      </c>
      <c r="E26" s="4"/>
      <c r="F26" s="6">
        <f>2.5</f>
        <v>2.5</v>
      </c>
      <c r="G26" s="5">
        <f t="shared" si="1"/>
        <v>0</v>
      </c>
      <c r="H26" s="4"/>
      <c r="I26" s="6">
        <f>2.5</f>
        <v>2.5</v>
      </c>
      <c r="J26" s="5">
        <f t="shared" si="2"/>
        <v>0</v>
      </c>
      <c r="K26" s="4"/>
      <c r="L26" s="6">
        <f>2.5</f>
        <v>2.5</v>
      </c>
      <c r="M26" s="5">
        <f t="shared" si="3"/>
        <v>0</v>
      </c>
      <c r="N26" s="4"/>
      <c r="O26" s="6">
        <f>2.5</f>
        <v>2.5</v>
      </c>
      <c r="P26" s="5">
        <f t="shared" si="4"/>
        <v>0</v>
      </c>
      <c r="Q26" s="4"/>
      <c r="R26" s="6">
        <f>2.5</f>
        <v>2.5</v>
      </c>
      <c r="S26" s="5">
        <f t="shared" si="5"/>
        <v>0</v>
      </c>
      <c r="T26" s="4"/>
      <c r="U26" s="6">
        <f>2.5</f>
        <v>2.5</v>
      </c>
      <c r="V26" s="5">
        <f t="shared" si="6"/>
        <v>0</v>
      </c>
      <c r="W26" s="4"/>
      <c r="X26" s="6">
        <f>2.5</f>
        <v>2.5</v>
      </c>
      <c r="Y26" s="5">
        <f t="shared" si="7"/>
        <v>0</v>
      </c>
      <c r="Z26" s="4"/>
      <c r="AA26" s="6">
        <f>2.5</f>
        <v>2.5</v>
      </c>
      <c r="AB26" s="5">
        <f t="shared" si="8"/>
        <v>0</v>
      </c>
      <c r="AC26" s="4"/>
      <c r="AD26" s="6">
        <f>2.5</f>
        <v>2.5</v>
      </c>
      <c r="AE26" s="5">
        <f t="shared" si="9"/>
        <v>0</v>
      </c>
      <c r="AF26" s="4"/>
      <c r="AG26" s="6">
        <f>2.5</f>
        <v>2.5</v>
      </c>
      <c r="AH26" s="5">
        <f t="shared" si="10"/>
        <v>0</v>
      </c>
      <c r="AI26" s="4"/>
      <c r="AJ26" s="6">
        <f>2.5</f>
        <v>2.5</v>
      </c>
      <c r="AK26" s="5">
        <f t="shared" si="11"/>
        <v>0</v>
      </c>
      <c r="AL26" s="6">
        <f t="shared" si="12"/>
        <v>0</v>
      </c>
      <c r="AM26" s="6">
        <f t="shared" si="13"/>
        <v>30</v>
      </c>
      <c r="AN26" s="5">
        <f t="shared" si="14"/>
        <v>0</v>
      </c>
    </row>
    <row r="27" spans="1:40" x14ac:dyDescent="0.25">
      <c r="A27" s="3" t="s">
        <v>36</v>
      </c>
      <c r="B27" s="4"/>
      <c r="C27" s="6">
        <f>70.83</f>
        <v>70.83</v>
      </c>
      <c r="D27" s="5">
        <f t="shared" si="0"/>
        <v>0</v>
      </c>
      <c r="E27" s="6">
        <f>124</f>
        <v>124</v>
      </c>
      <c r="F27" s="6">
        <f>70.83</f>
        <v>70.83</v>
      </c>
      <c r="G27" s="5">
        <f t="shared" si="1"/>
        <v>1.7506706197938726</v>
      </c>
      <c r="H27" s="6">
        <f>50.87</f>
        <v>50.87</v>
      </c>
      <c r="I27" s="6">
        <f>70.83</f>
        <v>70.83</v>
      </c>
      <c r="J27" s="5">
        <f t="shared" si="2"/>
        <v>0.71819850345898628</v>
      </c>
      <c r="K27" s="4"/>
      <c r="L27" s="6">
        <f>70.83</f>
        <v>70.83</v>
      </c>
      <c r="M27" s="5">
        <f t="shared" si="3"/>
        <v>0</v>
      </c>
      <c r="N27" s="4"/>
      <c r="O27" s="6">
        <f>70.83</f>
        <v>70.83</v>
      </c>
      <c r="P27" s="5">
        <f t="shared" si="4"/>
        <v>0</v>
      </c>
      <c r="Q27" s="4"/>
      <c r="R27" s="6">
        <f>70.83</f>
        <v>70.83</v>
      </c>
      <c r="S27" s="5">
        <f t="shared" si="5"/>
        <v>0</v>
      </c>
      <c r="T27" s="4"/>
      <c r="U27" s="6">
        <f>70.83</f>
        <v>70.83</v>
      </c>
      <c r="V27" s="5">
        <f t="shared" si="6"/>
        <v>0</v>
      </c>
      <c r="W27" s="4"/>
      <c r="X27" s="6">
        <f>70.83</f>
        <v>70.83</v>
      </c>
      <c r="Y27" s="5">
        <f t="shared" si="7"/>
        <v>0</v>
      </c>
      <c r="Z27" s="4"/>
      <c r="AA27" s="6">
        <f>70.83</f>
        <v>70.83</v>
      </c>
      <c r="AB27" s="5">
        <f t="shared" si="8"/>
        <v>0</v>
      </c>
      <c r="AC27" s="4"/>
      <c r="AD27" s="6">
        <f>70.83</f>
        <v>70.83</v>
      </c>
      <c r="AE27" s="5">
        <f t="shared" si="9"/>
        <v>0</v>
      </c>
      <c r="AF27" s="4"/>
      <c r="AG27" s="6">
        <f>70.83</f>
        <v>70.83</v>
      </c>
      <c r="AH27" s="5">
        <f t="shared" si="10"/>
        <v>0</v>
      </c>
      <c r="AI27" s="4"/>
      <c r="AJ27" s="6">
        <f>70.87</f>
        <v>70.87</v>
      </c>
      <c r="AK27" s="5">
        <f t="shared" si="11"/>
        <v>0</v>
      </c>
      <c r="AL27" s="6">
        <f t="shared" si="12"/>
        <v>174.87</v>
      </c>
      <c r="AM27" s="6">
        <f t="shared" si="13"/>
        <v>850.00000000000011</v>
      </c>
      <c r="AN27" s="5">
        <f t="shared" si="14"/>
        <v>0.20572941176470586</v>
      </c>
    </row>
    <row r="28" spans="1:40" x14ac:dyDescent="0.25">
      <c r="A28" s="3" t="s">
        <v>37</v>
      </c>
      <c r="B28" s="4"/>
      <c r="C28" s="6">
        <f>0</f>
        <v>0</v>
      </c>
      <c r="D28" s="5" t="str">
        <f t="shared" si="0"/>
        <v/>
      </c>
      <c r="E28" s="4"/>
      <c r="F28" s="6">
        <f>0</f>
        <v>0</v>
      </c>
      <c r="G28" s="5" t="str">
        <f t="shared" si="1"/>
        <v/>
      </c>
      <c r="H28" s="4"/>
      <c r="I28" s="6">
        <f>0</f>
        <v>0</v>
      </c>
      <c r="J28" s="5" t="str">
        <f t="shared" si="2"/>
        <v/>
      </c>
      <c r="K28" s="4"/>
      <c r="L28" s="6">
        <f>0</f>
        <v>0</v>
      </c>
      <c r="M28" s="5" t="str">
        <f t="shared" si="3"/>
        <v/>
      </c>
      <c r="N28" s="4"/>
      <c r="O28" s="6">
        <f>0</f>
        <v>0</v>
      </c>
      <c r="P28" s="5" t="str">
        <f t="shared" si="4"/>
        <v/>
      </c>
      <c r="Q28" s="4"/>
      <c r="R28" s="6">
        <f>0</f>
        <v>0</v>
      </c>
      <c r="S28" s="5" t="str">
        <f t="shared" si="5"/>
        <v/>
      </c>
      <c r="T28" s="4"/>
      <c r="U28" s="6">
        <f>0</f>
        <v>0</v>
      </c>
      <c r="V28" s="5" t="str">
        <f t="shared" si="6"/>
        <v/>
      </c>
      <c r="W28" s="4"/>
      <c r="X28" s="6">
        <f>0</f>
        <v>0</v>
      </c>
      <c r="Y28" s="5" t="str">
        <f t="shared" si="7"/>
        <v/>
      </c>
      <c r="Z28" s="4"/>
      <c r="AA28" s="6">
        <f>0</f>
        <v>0</v>
      </c>
      <c r="AB28" s="5" t="str">
        <f t="shared" si="8"/>
        <v/>
      </c>
      <c r="AC28" s="4"/>
      <c r="AD28" s="6">
        <f>0</f>
        <v>0</v>
      </c>
      <c r="AE28" s="5" t="str">
        <f t="shared" si="9"/>
        <v/>
      </c>
      <c r="AF28" s="4"/>
      <c r="AG28" s="6">
        <f>0</f>
        <v>0</v>
      </c>
      <c r="AH28" s="5" t="str">
        <f t="shared" si="10"/>
        <v/>
      </c>
      <c r="AI28" s="4"/>
      <c r="AJ28" s="6">
        <f>0</f>
        <v>0</v>
      </c>
      <c r="AK28" s="5" t="str">
        <f t="shared" si="11"/>
        <v/>
      </c>
      <c r="AL28" s="6">
        <f t="shared" si="12"/>
        <v>0</v>
      </c>
      <c r="AM28" s="6">
        <f t="shared" si="13"/>
        <v>0</v>
      </c>
      <c r="AN28" s="5" t="str">
        <f t="shared" si="14"/>
        <v/>
      </c>
    </row>
    <row r="29" spans="1:40" x14ac:dyDescent="0.25">
      <c r="A29" s="3" t="s">
        <v>38</v>
      </c>
      <c r="B29" s="4"/>
      <c r="C29" s="6">
        <f>0</f>
        <v>0</v>
      </c>
      <c r="D29" s="5" t="str">
        <f t="shared" si="0"/>
        <v/>
      </c>
      <c r="E29" s="4"/>
      <c r="F29" s="6">
        <f>0</f>
        <v>0</v>
      </c>
      <c r="G29" s="5" t="str">
        <f t="shared" si="1"/>
        <v/>
      </c>
      <c r="H29" s="4"/>
      <c r="I29" s="6">
        <f>0</f>
        <v>0</v>
      </c>
      <c r="J29" s="5" t="str">
        <f t="shared" si="2"/>
        <v/>
      </c>
      <c r="K29" s="4"/>
      <c r="L29" s="6">
        <f>0</f>
        <v>0</v>
      </c>
      <c r="M29" s="5" t="str">
        <f t="shared" si="3"/>
        <v/>
      </c>
      <c r="N29" s="4"/>
      <c r="O29" s="6">
        <f>0</f>
        <v>0</v>
      </c>
      <c r="P29" s="5" t="str">
        <f t="shared" si="4"/>
        <v/>
      </c>
      <c r="Q29" s="4"/>
      <c r="R29" s="6">
        <f>0</f>
        <v>0</v>
      </c>
      <c r="S29" s="5" t="str">
        <f t="shared" si="5"/>
        <v/>
      </c>
      <c r="T29" s="4"/>
      <c r="U29" s="6">
        <f>0</f>
        <v>0</v>
      </c>
      <c r="V29" s="5" t="str">
        <f t="shared" si="6"/>
        <v/>
      </c>
      <c r="W29" s="4"/>
      <c r="X29" s="6">
        <f>0</f>
        <v>0</v>
      </c>
      <c r="Y29" s="5" t="str">
        <f t="shared" si="7"/>
        <v/>
      </c>
      <c r="Z29" s="4"/>
      <c r="AA29" s="6">
        <f>0</f>
        <v>0</v>
      </c>
      <c r="AB29" s="5" t="str">
        <f t="shared" si="8"/>
        <v/>
      </c>
      <c r="AC29" s="4"/>
      <c r="AD29" s="6">
        <f>0</f>
        <v>0</v>
      </c>
      <c r="AE29" s="5" t="str">
        <f t="shared" si="9"/>
        <v/>
      </c>
      <c r="AF29" s="4"/>
      <c r="AG29" s="6">
        <f>0</f>
        <v>0</v>
      </c>
      <c r="AH29" s="5" t="str">
        <f t="shared" si="10"/>
        <v/>
      </c>
      <c r="AI29" s="4"/>
      <c r="AJ29" s="6">
        <f>0</f>
        <v>0</v>
      </c>
      <c r="AK29" s="5" t="str">
        <f t="shared" si="11"/>
        <v/>
      </c>
      <c r="AL29" s="6">
        <f t="shared" si="12"/>
        <v>0</v>
      </c>
      <c r="AM29" s="6">
        <f t="shared" si="13"/>
        <v>0</v>
      </c>
      <c r="AN29" s="5" t="str">
        <f t="shared" si="14"/>
        <v/>
      </c>
    </row>
    <row r="30" spans="1:40" x14ac:dyDescent="0.25">
      <c r="A30" s="3" t="s">
        <v>39</v>
      </c>
      <c r="B30" s="7">
        <f>((B27)+(B28))+(B29)</f>
        <v>0</v>
      </c>
      <c r="C30" s="7">
        <f>((C27)+(C28))+(C29)</f>
        <v>70.83</v>
      </c>
      <c r="D30" s="8">
        <f t="shared" si="0"/>
        <v>0</v>
      </c>
      <c r="E30" s="7">
        <f>((E27)+(E28))+(E29)</f>
        <v>124</v>
      </c>
      <c r="F30" s="7">
        <f>((F27)+(F28))+(F29)</f>
        <v>70.83</v>
      </c>
      <c r="G30" s="8">
        <f t="shared" si="1"/>
        <v>1.7506706197938726</v>
      </c>
      <c r="H30" s="7">
        <f>((H27)+(H28))+(H29)</f>
        <v>50.87</v>
      </c>
      <c r="I30" s="7">
        <f>((I27)+(I28))+(I29)</f>
        <v>70.83</v>
      </c>
      <c r="J30" s="8">
        <f t="shared" si="2"/>
        <v>0.71819850345898628</v>
      </c>
      <c r="K30" s="7">
        <f>((K27)+(K28))+(K29)</f>
        <v>0</v>
      </c>
      <c r="L30" s="7">
        <f>((L27)+(L28))+(L29)</f>
        <v>70.83</v>
      </c>
      <c r="M30" s="8">
        <f t="shared" si="3"/>
        <v>0</v>
      </c>
      <c r="N30" s="7">
        <f>((N27)+(N28))+(N29)</f>
        <v>0</v>
      </c>
      <c r="O30" s="7">
        <f>((O27)+(O28))+(O29)</f>
        <v>70.83</v>
      </c>
      <c r="P30" s="8">
        <f t="shared" si="4"/>
        <v>0</v>
      </c>
      <c r="Q30" s="7">
        <f>((Q27)+(Q28))+(Q29)</f>
        <v>0</v>
      </c>
      <c r="R30" s="7">
        <f>((R27)+(R28))+(R29)</f>
        <v>70.83</v>
      </c>
      <c r="S30" s="8">
        <f t="shared" si="5"/>
        <v>0</v>
      </c>
      <c r="T30" s="7">
        <f>((T27)+(T28))+(T29)</f>
        <v>0</v>
      </c>
      <c r="U30" s="7">
        <f>((U27)+(U28))+(U29)</f>
        <v>70.83</v>
      </c>
      <c r="V30" s="8">
        <f t="shared" si="6"/>
        <v>0</v>
      </c>
      <c r="W30" s="7">
        <f>((W27)+(W28))+(W29)</f>
        <v>0</v>
      </c>
      <c r="X30" s="7">
        <f>((X27)+(X28))+(X29)</f>
        <v>70.83</v>
      </c>
      <c r="Y30" s="8">
        <f t="shared" si="7"/>
        <v>0</v>
      </c>
      <c r="Z30" s="7">
        <f>((Z27)+(Z28))+(Z29)</f>
        <v>0</v>
      </c>
      <c r="AA30" s="7">
        <f>((AA27)+(AA28))+(AA29)</f>
        <v>70.83</v>
      </c>
      <c r="AB30" s="8">
        <f t="shared" si="8"/>
        <v>0</v>
      </c>
      <c r="AC30" s="7">
        <f>((AC27)+(AC28))+(AC29)</f>
        <v>0</v>
      </c>
      <c r="AD30" s="7">
        <f>((AD27)+(AD28))+(AD29)</f>
        <v>70.83</v>
      </c>
      <c r="AE30" s="8">
        <f t="shared" si="9"/>
        <v>0</v>
      </c>
      <c r="AF30" s="7">
        <f>((AF27)+(AF28))+(AF29)</f>
        <v>0</v>
      </c>
      <c r="AG30" s="7">
        <f>((AG27)+(AG28))+(AG29)</f>
        <v>70.83</v>
      </c>
      <c r="AH30" s="8">
        <f t="shared" si="10"/>
        <v>0</v>
      </c>
      <c r="AI30" s="7">
        <f>((AI27)+(AI28))+(AI29)</f>
        <v>0</v>
      </c>
      <c r="AJ30" s="7">
        <f>((AJ27)+(AJ28))+(AJ29)</f>
        <v>70.87</v>
      </c>
      <c r="AK30" s="8">
        <f t="shared" si="11"/>
        <v>0</v>
      </c>
      <c r="AL30" s="7">
        <f t="shared" si="12"/>
        <v>174.87</v>
      </c>
      <c r="AM30" s="7">
        <f t="shared" si="13"/>
        <v>850.00000000000011</v>
      </c>
      <c r="AN30" s="8">
        <f t="shared" si="14"/>
        <v>0.20572941176470586</v>
      </c>
    </row>
    <row r="31" spans="1:40" x14ac:dyDescent="0.25">
      <c r="A31" s="3" t="s">
        <v>40</v>
      </c>
      <c r="B31" s="4"/>
      <c r="C31" s="6">
        <f>333.33</f>
        <v>333.33</v>
      </c>
      <c r="D31" s="5">
        <f t="shared" si="0"/>
        <v>0</v>
      </c>
      <c r="E31" s="4"/>
      <c r="F31" s="6">
        <f>333.33</f>
        <v>333.33</v>
      </c>
      <c r="G31" s="5">
        <f t="shared" si="1"/>
        <v>0</v>
      </c>
      <c r="H31" s="4"/>
      <c r="I31" s="6">
        <f>333.33</f>
        <v>333.33</v>
      </c>
      <c r="J31" s="5">
        <f t="shared" si="2"/>
        <v>0</v>
      </c>
      <c r="K31" s="4"/>
      <c r="L31" s="6">
        <f>333.33</f>
        <v>333.33</v>
      </c>
      <c r="M31" s="5">
        <f t="shared" si="3"/>
        <v>0</v>
      </c>
      <c r="N31" s="4"/>
      <c r="O31" s="6">
        <f>333.33</f>
        <v>333.33</v>
      </c>
      <c r="P31" s="5">
        <f t="shared" si="4"/>
        <v>0</v>
      </c>
      <c r="Q31" s="4"/>
      <c r="R31" s="6">
        <f>333.33</f>
        <v>333.33</v>
      </c>
      <c r="S31" s="5">
        <f t="shared" si="5"/>
        <v>0</v>
      </c>
      <c r="T31" s="4"/>
      <c r="U31" s="6">
        <f>333.33</f>
        <v>333.33</v>
      </c>
      <c r="V31" s="5">
        <f t="shared" si="6"/>
        <v>0</v>
      </c>
      <c r="W31" s="4"/>
      <c r="X31" s="6">
        <f>333.33</f>
        <v>333.33</v>
      </c>
      <c r="Y31" s="5">
        <f t="shared" si="7"/>
        <v>0</v>
      </c>
      <c r="Z31" s="4"/>
      <c r="AA31" s="6">
        <f>333.33</f>
        <v>333.33</v>
      </c>
      <c r="AB31" s="5">
        <f t="shared" si="8"/>
        <v>0</v>
      </c>
      <c r="AC31" s="4"/>
      <c r="AD31" s="6">
        <f>333.33</f>
        <v>333.33</v>
      </c>
      <c r="AE31" s="5">
        <f t="shared" si="9"/>
        <v>0</v>
      </c>
      <c r="AF31" s="4"/>
      <c r="AG31" s="6">
        <f>333.33</f>
        <v>333.33</v>
      </c>
      <c r="AH31" s="5">
        <f t="shared" si="10"/>
        <v>0</v>
      </c>
      <c r="AI31" s="4"/>
      <c r="AJ31" s="6">
        <f>333.37</f>
        <v>333.37</v>
      </c>
      <c r="AK31" s="5">
        <f t="shared" si="11"/>
        <v>0</v>
      </c>
      <c r="AL31" s="6">
        <f t="shared" si="12"/>
        <v>0</v>
      </c>
      <c r="AM31" s="6">
        <f t="shared" si="13"/>
        <v>3999.9999999999995</v>
      </c>
      <c r="AN31" s="5">
        <f t="shared" si="14"/>
        <v>0</v>
      </c>
    </row>
    <row r="32" spans="1:40" x14ac:dyDescent="0.25">
      <c r="A32" s="3" t="s">
        <v>41</v>
      </c>
      <c r="B32" s="4"/>
      <c r="C32" s="6">
        <f>100</f>
        <v>100</v>
      </c>
      <c r="D32" s="5">
        <f t="shared" si="0"/>
        <v>0</v>
      </c>
      <c r="E32" s="4"/>
      <c r="F32" s="6">
        <f>100</f>
        <v>100</v>
      </c>
      <c r="G32" s="5">
        <f t="shared" si="1"/>
        <v>0</v>
      </c>
      <c r="H32" s="4"/>
      <c r="I32" s="6">
        <f>100</f>
        <v>100</v>
      </c>
      <c r="J32" s="5">
        <f t="shared" si="2"/>
        <v>0</v>
      </c>
      <c r="K32" s="4"/>
      <c r="L32" s="6">
        <f>100</f>
        <v>100</v>
      </c>
      <c r="M32" s="5">
        <f t="shared" si="3"/>
        <v>0</v>
      </c>
      <c r="N32" s="4"/>
      <c r="O32" s="6">
        <f>100</f>
        <v>100</v>
      </c>
      <c r="P32" s="5">
        <f t="shared" si="4"/>
        <v>0</v>
      </c>
      <c r="Q32" s="4"/>
      <c r="R32" s="6">
        <f>100</f>
        <v>100</v>
      </c>
      <c r="S32" s="5">
        <f t="shared" si="5"/>
        <v>0</v>
      </c>
      <c r="T32" s="4"/>
      <c r="U32" s="6">
        <f>100</f>
        <v>100</v>
      </c>
      <c r="V32" s="5">
        <f t="shared" si="6"/>
        <v>0</v>
      </c>
      <c r="W32" s="4"/>
      <c r="X32" s="6">
        <f>100</f>
        <v>100</v>
      </c>
      <c r="Y32" s="5">
        <f t="shared" si="7"/>
        <v>0</v>
      </c>
      <c r="Z32" s="4"/>
      <c r="AA32" s="6">
        <f>100</f>
        <v>100</v>
      </c>
      <c r="AB32" s="5">
        <f t="shared" si="8"/>
        <v>0</v>
      </c>
      <c r="AC32" s="4"/>
      <c r="AD32" s="6">
        <f>100</f>
        <v>100</v>
      </c>
      <c r="AE32" s="5">
        <f t="shared" si="9"/>
        <v>0</v>
      </c>
      <c r="AF32" s="4"/>
      <c r="AG32" s="6">
        <f>100</f>
        <v>100</v>
      </c>
      <c r="AH32" s="5">
        <f t="shared" si="10"/>
        <v>0</v>
      </c>
      <c r="AI32" s="4"/>
      <c r="AJ32" s="6">
        <f>100</f>
        <v>100</v>
      </c>
      <c r="AK32" s="5">
        <f t="shared" si="11"/>
        <v>0</v>
      </c>
      <c r="AL32" s="6">
        <f t="shared" si="12"/>
        <v>0</v>
      </c>
      <c r="AM32" s="6">
        <f t="shared" si="13"/>
        <v>1200</v>
      </c>
      <c r="AN32" s="5">
        <f t="shared" si="14"/>
        <v>0</v>
      </c>
    </row>
    <row r="33" spans="1:40" x14ac:dyDescent="0.25">
      <c r="A33" s="3" t="s">
        <v>42</v>
      </c>
      <c r="B33" s="6">
        <f>2000</f>
        <v>2000</v>
      </c>
      <c r="C33" s="6">
        <f>2000</f>
        <v>2000</v>
      </c>
      <c r="D33" s="5">
        <f t="shared" si="0"/>
        <v>1</v>
      </c>
      <c r="E33" s="6">
        <f>4000</f>
        <v>4000</v>
      </c>
      <c r="F33" s="6">
        <f>2000</f>
        <v>2000</v>
      </c>
      <c r="G33" s="5">
        <f t="shared" si="1"/>
        <v>2</v>
      </c>
      <c r="H33" s="4"/>
      <c r="I33" s="6">
        <f>2000</f>
        <v>2000</v>
      </c>
      <c r="J33" s="5">
        <f t="shared" si="2"/>
        <v>0</v>
      </c>
      <c r="K33" s="6">
        <f>2000</f>
        <v>2000</v>
      </c>
      <c r="L33" s="6">
        <f>2000</f>
        <v>2000</v>
      </c>
      <c r="M33" s="5">
        <f t="shared" si="3"/>
        <v>1</v>
      </c>
      <c r="N33" s="4"/>
      <c r="O33" s="6">
        <f>2000</f>
        <v>2000</v>
      </c>
      <c r="P33" s="5">
        <f t="shared" si="4"/>
        <v>0</v>
      </c>
      <c r="Q33" s="4"/>
      <c r="R33" s="6">
        <f>2000</f>
        <v>2000</v>
      </c>
      <c r="S33" s="5">
        <f t="shared" si="5"/>
        <v>0</v>
      </c>
      <c r="T33" s="4"/>
      <c r="U33" s="6">
        <f>2000</f>
        <v>2000</v>
      </c>
      <c r="V33" s="5">
        <f t="shared" si="6"/>
        <v>0</v>
      </c>
      <c r="W33" s="4"/>
      <c r="X33" s="6">
        <f>2000</f>
        <v>2000</v>
      </c>
      <c r="Y33" s="5">
        <f t="shared" si="7"/>
        <v>0</v>
      </c>
      <c r="Z33" s="4"/>
      <c r="AA33" s="6">
        <f>2000</f>
        <v>2000</v>
      </c>
      <c r="AB33" s="5">
        <f t="shared" si="8"/>
        <v>0</v>
      </c>
      <c r="AC33" s="4"/>
      <c r="AD33" s="6">
        <f>2000</f>
        <v>2000</v>
      </c>
      <c r="AE33" s="5">
        <f t="shared" si="9"/>
        <v>0</v>
      </c>
      <c r="AF33" s="4"/>
      <c r="AG33" s="6">
        <f>2000</f>
        <v>2000</v>
      </c>
      <c r="AH33" s="5">
        <f t="shared" si="10"/>
        <v>0</v>
      </c>
      <c r="AI33" s="4"/>
      <c r="AJ33" s="6">
        <f>2000</f>
        <v>2000</v>
      </c>
      <c r="AK33" s="5">
        <f t="shared" si="11"/>
        <v>0</v>
      </c>
      <c r="AL33" s="6">
        <f t="shared" si="12"/>
        <v>8000</v>
      </c>
      <c r="AM33" s="6">
        <f t="shared" si="13"/>
        <v>24000</v>
      </c>
      <c r="AN33" s="5">
        <f t="shared" si="14"/>
        <v>0.33333333333333331</v>
      </c>
    </row>
    <row r="34" spans="1:40" x14ac:dyDescent="0.25">
      <c r="A34" s="3" t="s">
        <v>43</v>
      </c>
      <c r="B34" s="4"/>
      <c r="C34" s="6">
        <f>0</f>
        <v>0</v>
      </c>
      <c r="D34" s="5" t="str">
        <f t="shared" si="0"/>
        <v/>
      </c>
      <c r="E34" s="4"/>
      <c r="F34" s="6">
        <f>0</f>
        <v>0</v>
      </c>
      <c r="G34" s="5" t="str">
        <f t="shared" si="1"/>
        <v/>
      </c>
      <c r="H34" s="4"/>
      <c r="I34" s="6">
        <f>0</f>
        <v>0</v>
      </c>
      <c r="J34" s="5" t="str">
        <f t="shared" si="2"/>
        <v/>
      </c>
      <c r="K34" s="4"/>
      <c r="L34" s="6">
        <f>0</f>
        <v>0</v>
      </c>
      <c r="M34" s="5" t="str">
        <f t="shared" si="3"/>
        <v/>
      </c>
      <c r="N34" s="4"/>
      <c r="O34" s="6">
        <f>0</f>
        <v>0</v>
      </c>
      <c r="P34" s="5" t="str">
        <f t="shared" si="4"/>
        <v/>
      </c>
      <c r="Q34" s="4"/>
      <c r="R34" s="6">
        <f>0</f>
        <v>0</v>
      </c>
      <c r="S34" s="5" t="str">
        <f t="shared" si="5"/>
        <v/>
      </c>
      <c r="T34" s="4"/>
      <c r="U34" s="6">
        <f>0</f>
        <v>0</v>
      </c>
      <c r="V34" s="5" t="str">
        <f t="shared" si="6"/>
        <v/>
      </c>
      <c r="W34" s="4"/>
      <c r="X34" s="6">
        <f>0</f>
        <v>0</v>
      </c>
      <c r="Y34" s="5" t="str">
        <f t="shared" si="7"/>
        <v/>
      </c>
      <c r="Z34" s="4"/>
      <c r="AA34" s="6">
        <f>0</f>
        <v>0</v>
      </c>
      <c r="AB34" s="5" t="str">
        <f t="shared" si="8"/>
        <v/>
      </c>
      <c r="AC34" s="4"/>
      <c r="AD34" s="6">
        <f>0</f>
        <v>0</v>
      </c>
      <c r="AE34" s="5" t="str">
        <f t="shared" si="9"/>
        <v/>
      </c>
      <c r="AF34" s="4"/>
      <c r="AG34" s="6">
        <f>0</f>
        <v>0</v>
      </c>
      <c r="AH34" s="5" t="str">
        <f t="shared" si="10"/>
        <v/>
      </c>
      <c r="AI34" s="4"/>
      <c r="AJ34" s="6">
        <f>0</f>
        <v>0</v>
      </c>
      <c r="AK34" s="5" t="str">
        <f t="shared" si="11"/>
        <v/>
      </c>
      <c r="AL34" s="6">
        <f t="shared" si="12"/>
        <v>0</v>
      </c>
      <c r="AM34" s="6">
        <f t="shared" si="13"/>
        <v>0</v>
      </c>
      <c r="AN34" s="5" t="str">
        <f t="shared" si="14"/>
        <v/>
      </c>
    </row>
    <row r="35" spans="1:40" x14ac:dyDescent="0.25">
      <c r="A35" s="3" t="s">
        <v>44</v>
      </c>
      <c r="B35" s="7">
        <f>(((B31)+(B32))+(B33))+(B34)</f>
        <v>2000</v>
      </c>
      <c r="C35" s="7">
        <f>(((C31)+(C32))+(C33))+(C34)</f>
        <v>2433.33</v>
      </c>
      <c r="D35" s="8">
        <f t="shared" si="0"/>
        <v>0.82191893413552619</v>
      </c>
      <c r="E35" s="7">
        <f>(((E31)+(E32))+(E33))+(E34)</f>
        <v>4000</v>
      </c>
      <c r="F35" s="7">
        <f>(((F31)+(F32))+(F33))+(F34)</f>
        <v>2433.33</v>
      </c>
      <c r="G35" s="8">
        <f t="shared" si="1"/>
        <v>1.6438378682710524</v>
      </c>
      <c r="H35" s="7">
        <f>(((H31)+(H32))+(H33))+(H34)</f>
        <v>0</v>
      </c>
      <c r="I35" s="7">
        <f>(((I31)+(I32))+(I33))+(I34)</f>
        <v>2433.33</v>
      </c>
      <c r="J35" s="8">
        <f t="shared" si="2"/>
        <v>0</v>
      </c>
      <c r="K35" s="7">
        <f>(((K31)+(K32))+(K33))+(K34)</f>
        <v>2000</v>
      </c>
      <c r="L35" s="7">
        <f>(((L31)+(L32))+(L33))+(L34)</f>
        <v>2433.33</v>
      </c>
      <c r="M35" s="8">
        <f t="shared" si="3"/>
        <v>0.82191893413552619</v>
      </c>
      <c r="N35" s="7">
        <f>(((N31)+(N32))+(N33))+(N34)</f>
        <v>0</v>
      </c>
      <c r="O35" s="7">
        <f>(((O31)+(O32))+(O33))+(O34)</f>
        <v>2433.33</v>
      </c>
      <c r="P35" s="8">
        <f t="shared" si="4"/>
        <v>0</v>
      </c>
      <c r="Q35" s="7">
        <f>(((Q31)+(Q32))+(Q33))+(Q34)</f>
        <v>0</v>
      </c>
      <c r="R35" s="7">
        <f>(((R31)+(R32))+(R33))+(R34)</f>
        <v>2433.33</v>
      </c>
      <c r="S35" s="8">
        <f t="shared" si="5"/>
        <v>0</v>
      </c>
      <c r="T35" s="7">
        <f>(((T31)+(T32))+(T33))+(T34)</f>
        <v>0</v>
      </c>
      <c r="U35" s="7">
        <f>(((U31)+(U32))+(U33))+(U34)</f>
        <v>2433.33</v>
      </c>
      <c r="V35" s="8">
        <f t="shared" si="6"/>
        <v>0</v>
      </c>
      <c r="W35" s="7">
        <f>(((W31)+(W32))+(W33))+(W34)</f>
        <v>0</v>
      </c>
      <c r="X35" s="7">
        <f>(((X31)+(X32))+(X33))+(X34)</f>
        <v>2433.33</v>
      </c>
      <c r="Y35" s="8">
        <f t="shared" si="7"/>
        <v>0</v>
      </c>
      <c r="Z35" s="7">
        <f>(((Z31)+(Z32))+(Z33))+(Z34)</f>
        <v>0</v>
      </c>
      <c r="AA35" s="7">
        <f>(((AA31)+(AA32))+(AA33))+(AA34)</f>
        <v>2433.33</v>
      </c>
      <c r="AB35" s="8">
        <f t="shared" si="8"/>
        <v>0</v>
      </c>
      <c r="AC35" s="7">
        <f>(((AC31)+(AC32))+(AC33))+(AC34)</f>
        <v>0</v>
      </c>
      <c r="AD35" s="7">
        <f>(((AD31)+(AD32))+(AD33))+(AD34)</f>
        <v>2433.33</v>
      </c>
      <c r="AE35" s="8">
        <f t="shared" si="9"/>
        <v>0</v>
      </c>
      <c r="AF35" s="7">
        <f>(((AF31)+(AF32))+(AF33))+(AF34)</f>
        <v>0</v>
      </c>
      <c r="AG35" s="7">
        <f>(((AG31)+(AG32))+(AG33))+(AG34)</f>
        <v>2433.33</v>
      </c>
      <c r="AH35" s="8">
        <f t="shared" si="10"/>
        <v>0</v>
      </c>
      <c r="AI35" s="7">
        <f>(((AI31)+(AI32))+(AI33))+(AI34)</f>
        <v>0</v>
      </c>
      <c r="AJ35" s="7">
        <f>(((AJ31)+(AJ32))+(AJ33))+(AJ34)</f>
        <v>2433.37</v>
      </c>
      <c r="AK35" s="8">
        <f t="shared" si="11"/>
        <v>0</v>
      </c>
      <c r="AL35" s="7">
        <f t="shared" si="12"/>
        <v>8000</v>
      </c>
      <c r="AM35" s="7">
        <f t="shared" si="13"/>
        <v>29200.000000000004</v>
      </c>
      <c r="AN35" s="8">
        <f t="shared" si="14"/>
        <v>0.27397260273972601</v>
      </c>
    </row>
    <row r="36" spans="1:40" x14ac:dyDescent="0.25">
      <c r="A36" s="3" t="s">
        <v>45</v>
      </c>
      <c r="B36" s="7">
        <f>((((((B16)+(B17))+(B18))+(B25))+(B26))+(B30))+(B35)</f>
        <v>60097.82</v>
      </c>
      <c r="C36" s="7">
        <f>((((((C16)+(C17))+(C18))+(C25))+(C26))+(C30))+(C35)</f>
        <v>46839.990000000005</v>
      </c>
      <c r="D36" s="8">
        <f t="shared" si="0"/>
        <v>1.2830451073964788</v>
      </c>
      <c r="E36" s="7">
        <f>((((((E16)+(E17))+(E18))+(E25))+(E26))+(E30))+(E35)</f>
        <v>43547</v>
      </c>
      <c r="F36" s="7">
        <f>((((((F16)+(F17))+(F18))+(F25))+(F26))+(F30))+(F35)</f>
        <v>46839.990000000005</v>
      </c>
      <c r="G36" s="8">
        <f t="shared" si="1"/>
        <v>0.92969703879099874</v>
      </c>
      <c r="H36" s="7">
        <f>((((((H16)+(H17))+(H18))+(H25))+(H26))+(H30))+(H35)</f>
        <v>16868.98</v>
      </c>
      <c r="I36" s="7">
        <f>((((((I16)+(I17))+(I18))+(I25))+(I26))+(I30))+(I35)</f>
        <v>46839.990000000005</v>
      </c>
      <c r="J36" s="8">
        <f t="shared" si="2"/>
        <v>0.36014055511113469</v>
      </c>
      <c r="K36" s="7">
        <f>((((((K16)+(K17))+(K18))+(K25))+(K26))+(K30))+(K35)</f>
        <v>62196.25</v>
      </c>
      <c r="L36" s="7">
        <f>((((((L16)+(L17))+(L18))+(L25))+(L26))+(L30))+(L35)</f>
        <v>46839.990000000005</v>
      </c>
      <c r="M36" s="8">
        <f t="shared" si="3"/>
        <v>1.3278450742623984</v>
      </c>
      <c r="N36" s="7">
        <f>((((((N16)+(N17))+(N18))+(N25))+(N26))+(N30))+(N35)</f>
        <v>0</v>
      </c>
      <c r="O36" s="7">
        <f>((((((O16)+(O17))+(O18))+(O25))+(O26))+(O30))+(O35)</f>
        <v>46839.990000000005</v>
      </c>
      <c r="P36" s="8">
        <f t="shared" si="4"/>
        <v>0</v>
      </c>
      <c r="Q36" s="7">
        <f>((((((Q16)+(Q17))+(Q18))+(Q25))+(Q26))+(Q30))+(Q35)</f>
        <v>0</v>
      </c>
      <c r="R36" s="7">
        <f>((((((R16)+(R17))+(R18))+(R25))+(R26))+(R30))+(R35)</f>
        <v>46839.990000000005</v>
      </c>
      <c r="S36" s="8">
        <f t="shared" si="5"/>
        <v>0</v>
      </c>
      <c r="T36" s="7">
        <f>((((((T16)+(T17))+(T18))+(T25))+(T26))+(T30))+(T35)</f>
        <v>0</v>
      </c>
      <c r="U36" s="7">
        <f>((((((U16)+(U17))+(U18))+(U25))+(U26))+(U30))+(U35)</f>
        <v>46839.990000000005</v>
      </c>
      <c r="V36" s="8">
        <f t="shared" si="6"/>
        <v>0</v>
      </c>
      <c r="W36" s="7">
        <f>((((((W16)+(W17))+(W18))+(W25))+(W26))+(W30))+(W35)</f>
        <v>0</v>
      </c>
      <c r="X36" s="7">
        <f>((((((X16)+(X17))+(X18))+(X25))+(X26))+(X30))+(X35)</f>
        <v>46839.990000000005</v>
      </c>
      <c r="Y36" s="8">
        <f t="shared" si="7"/>
        <v>0</v>
      </c>
      <c r="Z36" s="7">
        <f>((((((Z16)+(Z17))+(Z18))+(Z25))+(Z26))+(Z30))+(Z35)</f>
        <v>0</v>
      </c>
      <c r="AA36" s="7">
        <f>((((((AA16)+(AA17))+(AA18))+(AA25))+(AA26))+(AA30))+(AA35)</f>
        <v>46839.990000000005</v>
      </c>
      <c r="AB36" s="8">
        <f t="shared" si="8"/>
        <v>0</v>
      </c>
      <c r="AC36" s="7">
        <f>((((((AC16)+(AC17))+(AC18))+(AC25))+(AC26))+(AC30))+(AC35)</f>
        <v>0</v>
      </c>
      <c r="AD36" s="7">
        <f>((((((AD16)+(AD17))+(AD18))+(AD25))+(AD26))+(AD30))+(AD35)</f>
        <v>46839.990000000005</v>
      </c>
      <c r="AE36" s="8">
        <f t="shared" si="9"/>
        <v>0</v>
      </c>
      <c r="AF36" s="7">
        <f>((((((AF16)+(AF17))+(AF18))+(AF25))+(AF26))+(AF30))+(AF35)</f>
        <v>0</v>
      </c>
      <c r="AG36" s="7">
        <f>((((((AG16)+(AG17))+(AG18))+(AG25))+(AG26))+(AG30))+(AG35)</f>
        <v>46839.990000000005</v>
      </c>
      <c r="AH36" s="8">
        <f t="shared" si="10"/>
        <v>0</v>
      </c>
      <c r="AI36" s="7">
        <f>((((((AI16)+(AI17))+(AI18))+(AI25))+(AI26))+(AI30))+(AI35)</f>
        <v>0</v>
      </c>
      <c r="AJ36" s="7">
        <f>((((((AJ16)+(AJ17))+(AJ18))+(AJ25))+(AJ26))+(AJ30))+(AJ35)</f>
        <v>46840.110000000008</v>
      </c>
      <c r="AK36" s="8">
        <f t="shared" si="11"/>
        <v>0</v>
      </c>
      <c r="AL36" s="7">
        <f t="shared" si="12"/>
        <v>182710.05</v>
      </c>
      <c r="AM36" s="7">
        <f t="shared" si="13"/>
        <v>562080</v>
      </c>
      <c r="AN36" s="8">
        <f t="shared" si="14"/>
        <v>0.32506057856532877</v>
      </c>
    </row>
    <row r="37" spans="1:40" x14ac:dyDescent="0.25">
      <c r="A37" s="3" t="s">
        <v>46</v>
      </c>
      <c r="B37" s="7">
        <f>(B36)-(0)</f>
        <v>60097.82</v>
      </c>
      <c r="C37" s="7">
        <f>(C36)-(0)</f>
        <v>46839.990000000005</v>
      </c>
      <c r="D37" s="8">
        <f t="shared" si="0"/>
        <v>1.2830451073964788</v>
      </c>
      <c r="E37" s="7">
        <f>(E36)-(0)</f>
        <v>43547</v>
      </c>
      <c r="F37" s="7">
        <f>(F36)-(0)</f>
        <v>46839.990000000005</v>
      </c>
      <c r="G37" s="8">
        <f t="shared" si="1"/>
        <v>0.92969703879099874</v>
      </c>
      <c r="H37" s="7">
        <f>(H36)-(0)</f>
        <v>16868.98</v>
      </c>
      <c r="I37" s="7">
        <f>(I36)-(0)</f>
        <v>46839.990000000005</v>
      </c>
      <c r="J37" s="8">
        <f t="shared" si="2"/>
        <v>0.36014055511113469</v>
      </c>
      <c r="K37" s="7">
        <f>(K36)-(0)</f>
        <v>62196.25</v>
      </c>
      <c r="L37" s="7">
        <f>(L36)-(0)</f>
        <v>46839.990000000005</v>
      </c>
      <c r="M37" s="8">
        <f t="shared" si="3"/>
        <v>1.3278450742623984</v>
      </c>
      <c r="N37" s="7">
        <f>(N36)-(0)</f>
        <v>0</v>
      </c>
      <c r="O37" s="7">
        <f>(O36)-(0)</f>
        <v>46839.990000000005</v>
      </c>
      <c r="P37" s="8">
        <f t="shared" si="4"/>
        <v>0</v>
      </c>
      <c r="Q37" s="7">
        <f>(Q36)-(0)</f>
        <v>0</v>
      </c>
      <c r="R37" s="7">
        <f>(R36)-(0)</f>
        <v>46839.990000000005</v>
      </c>
      <c r="S37" s="8">
        <f t="shared" si="5"/>
        <v>0</v>
      </c>
      <c r="T37" s="7">
        <f>(T36)-(0)</f>
        <v>0</v>
      </c>
      <c r="U37" s="7">
        <f>(U36)-(0)</f>
        <v>46839.990000000005</v>
      </c>
      <c r="V37" s="8">
        <f t="shared" si="6"/>
        <v>0</v>
      </c>
      <c r="W37" s="7">
        <f>(W36)-(0)</f>
        <v>0</v>
      </c>
      <c r="X37" s="7">
        <f>(X36)-(0)</f>
        <v>46839.990000000005</v>
      </c>
      <c r="Y37" s="8">
        <f t="shared" si="7"/>
        <v>0</v>
      </c>
      <c r="Z37" s="7">
        <f>(Z36)-(0)</f>
        <v>0</v>
      </c>
      <c r="AA37" s="7">
        <f>(AA36)-(0)</f>
        <v>46839.990000000005</v>
      </c>
      <c r="AB37" s="8">
        <f t="shared" si="8"/>
        <v>0</v>
      </c>
      <c r="AC37" s="7">
        <f>(AC36)-(0)</f>
        <v>0</v>
      </c>
      <c r="AD37" s="7">
        <f>(AD36)-(0)</f>
        <v>46839.990000000005</v>
      </c>
      <c r="AE37" s="8">
        <f t="shared" si="9"/>
        <v>0</v>
      </c>
      <c r="AF37" s="7">
        <f>(AF36)-(0)</f>
        <v>0</v>
      </c>
      <c r="AG37" s="7">
        <f>(AG36)-(0)</f>
        <v>46839.990000000005</v>
      </c>
      <c r="AH37" s="8">
        <f t="shared" si="10"/>
        <v>0</v>
      </c>
      <c r="AI37" s="7">
        <f>(AI36)-(0)</f>
        <v>0</v>
      </c>
      <c r="AJ37" s="7">
        <f>(AJ36)-(0)</f>
        <v>46840.110000000008</v>
      </c>
      <c r="AK37" s="8">
        <f t="shared" si="11"/>
        <v>0</v>
      </c>
      <c r="AL37" s="7">
        <f t="shared" si="12"/>
        <v>182710.05</v>
      </c>
      <c r="AM37" s="7">
        <f t="shared" si="13"/>
        <v>562080</v>
      </c>
      <c r="AN37" s="8">
        <f t="shared" si="14"/>
        <v>0.32506057856532877</v>
      </c>
    </row>
    <row r="38" spans="1:40" x14ac:dyDescent="0.25">
      <c r="A38" s="3" t="s">
        <v>47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x14ac:dyDescent="0.25">
      <c r="A39" s="3" t="s">
        <v>48</v>
      </c>
      <c r="B39" s="4"/>
      <c r="C39" s="4"/>
      <c r="D39" s="5" t="str">
        <f t="shared" ref="D39:D70" si="15">IF(C39=0,"",(B39)/(C39))</f>
        <v/>
      </c>
      <c r="E39" s="4"/>
      <c r="F39" s="4"/>
      <c r="G39" s="5" t="str">
        <f t="shared" ref="G39:G70" si="16">IF(F39=0,"",(E39)/(F39))</f>
        <v/>
      </c>
      <c r="H39" s="4"/>
      <c r="I39" s="4"/>
      <c r="J39" s="5" t="str">
        <f t="shared" ref="J39:J70" si="17">IF(I39=0,"",(H39)/(I39))</f>
        <v/>
      </c>
      <c r="K39" s="4"/>
      <c r="L39" s="4"/>
      <c r="M39" s="5" t="str">
        <f t="shared" ref="M39:M70" si="18">IF(L39=0,"",(K39)/(L39))</f>
        <v/>
      </c>
      <c r="N39" s="4"/>
      <c r="O39" s="4"/>
      <c r="P39" s="5" t="str">
        <f t="shared" ref="P39:P70" si="19">IF(O39=0,"",(N39)/(O39))</f>
        <v/>
      </c>
      <c r="Q39" s="4"/>
      <c r="R39" s="4"/>
      <c r="S39" s="5" t="str">
        <f t="shared" ref="S39:S70" si="20">IF(R39=0,"",(Q39)/(R39))</f>
        <v/>
      </c>
      <c r="T39" s="4"/>
      <c r="U39" s="4"/>
      <c r="V39" s="5" t="str">
        <f t="shared" ref="V39:V70" si="21">IF(U39=0,"",(T39)/(U39))</f>
        <v/>
      </c>
      <c r="W39" s="4"/>
      <c r="X39" s="4"/>
      <c r="Y39" s="5" t="str">
        <f t="shared" ref="Y39:Y70" si="22">IF(X39=0,"",(W39)/(X39))</f>
        <v/>
      </c>
      <c r="Z39" s="4"/>
      <c r="AA39" s="4"/>
      <c r="AB39" s="5" t="str">
        <f t="shared" ref="AB39:AB70" si="23">IF(AA39=0,"",(Z39)/(AA39))</f>
        <v/>
      </c>
      <c r="AC39" s="4"/>
      <c r="AD39" s="4"/>
      <c r="AE39" s="5" t="str">
        <f t="shared" ref="AE39:AE70" si="24">IF(AD39=0,"",(AC39)/(AD39))</f>
        <v/>
      </c>
      <c r="AF39" s="4"/>
      <c r="AG39" s="4"/>
      <c r="AH39" s="5" t="str">
        <f t="shared" ref="AH39:AH70" si="25">IF(AG39=0,"",(AF39)/(AG39))</f>
        <v/>
      </c>
      <c r="AI39" s="4"/>
      <c r="AJ39" s="4"/>
      <c r="AK39" s="5" t="str">
        <f t="shared" ref="AK39:AK70" si="26">IF(AJ39=0,"",(AI39)/(AJ39))</f>
        <v/>
      </c>
      <c r="AL39" s="6">
        <f t="shared" ref="AL39:AL70" si="27">(((((((((((B39)+(E39))+(H39))+(K39))+(N39))+(Q39))+(T39))+(W39))+(Z39))+(AC39))+(AF39))+(AI39)</f>
        <v>0</v>
      </c>
      <c r="AM39" s="6">
        <f t="shared" ref="AM39:AM70" si="28">(((((((((((C39)+(F39))+(I39))+(L39))+(O39))+(R39))+(U39))+(X39))+(AA39))+(AD39))+(AG39))+(AJ39)</f>
        <v>0</v>
      </c>
      <c r="AN39" s="5" t="str">
        <f t="shared" ref="AN39:AN70" si="29">IF(AM39=0,"",(AL39)/(AM39))</f>
        <v/>
      </c>
    </row>
    <row r="40" spans="1:40" x14ac:dyDescent="0.25">
      <c r="A40" s="3" t="s">
        <v>49</v>
      </c>
      <c r="B40" s="4"/>
      <c r="C40" s="4"/>
      <c r="D40" s="5" t="str">
        <f t="shared" si="15"/>
        <v/>
      </c>
      <c r="E40" s="4"/>
      <c r="F40" s="4"/>
      <c r="G40" s="5" t="str">
        <f t="shared" si="16"/>
        <v/>
      </c>
      <c r="H40" s="4"/>
      <c r="I40" s="4"/>
      <c r="J40" s="5" t="str">
        <f t="shared" si="17"/>
        <v/>
      </c>
      <c r="K40" s="4"/>
      <c r="L40" s="4"/>
      <c r="M40" s="5" t="str">
        <f t="shared" si="18"/>
        <v/>
      </c>
      <c r="N40" s="4"/>
      <c r="O40" s="4"/>
      <c r="P40" s="5" t="str">
        <f t="shared" si="19"/>
        <v/>
      </c>
      <c r="Q40" s="4"/>
      <c r="R40" s="4"/>
      <c r="S40" s="5" t="str">
        <f t="shared" si="20"/>
        <v/>
      </c>
      <c r="T40" s="4"/>
      <c r="U40" s="4"/>
      <c r="V40" s="5" t="str">
        <f t="shared" si="21"/>
        <v/>
      </c>
      <c r="W40" s="4"/>
      <c r="X40" s="4"/>
      <c r="Y40" s="5" t="str">
        <f t="shared" si="22"/>
        <v/>
      </c>
      <c r="Z40" s="4"/>
      <c r="AA40" s="4"/>
      <c r="AB40" s="5" t="str">
        <f t="shared" si="23"/>
        <v/>
      </c>
      <c r="AC40" s="4"/>
      <c r="AD40" s="4"/>
      <c r="AE40" s="5" t="str">
        <f t="shared" si="24"/>
        <v/>
      </c>
      <c r="AF40" s="4"/>
      <c r="AG40" s="4"/>
      <c r="AH40" s="5" t="str">
        <f t="shared" si="25"/>
        <v/>
      </c>
      <c r="AI40" s="4"/>
      <c r="AJ40" s="4"/>
      <c r="AK40" s="5" t="str">
        <f t="shared" si="26"/>
        <v/>
      </c>
      <c r="AL40" s="6">
        <f t="shared" si="27"/>
        <v>0</v>
      </c>
      <c r="AM40" s="6">
        <f t="shared" si="28"/>
        <v>0</v>
      </c>
      <c r="AN40" s="5" t="str">
        <f t="shared" si="29"/>
        <v/>
      </c>
    </row>
    <row r="41" spans="1:40" x14ac:dyDescent="0.25">
      <c r="A41" s="3" t="s">
        <v>50</v>
      </c>
      <c r="B41" s="6">
        <f>23132.1</f>
        <v>23132.1</v>
      </c>
      <c r="C41" s="6">
        <f>22125</f>
        <v>22125</v>
      </c>
      <c r="D41" s="5">
        <f t="shared" si="15"/>
        <v>1.0455186440677966</v>
      </c>
      <c r="E41" s="6">
        <f>21060.83</f>
        <v>21060.83</v>
      </c>
      <c r="F41" s="6">
        <f>22125</f>
        <v>22125</v>
      </c>
      <c r="G41" s="5">
        <f t="shared" si="16"/>
        <v>0.95190192090395487</v>
      </c>
      <c r="H41" s="6">
        <f>20593.58</f>
        <v>20593.580000000002</v>
      </c>
      <c r="I41" s="6">
        <f>22125</f>
        <v>22125</v>
      </c>
      <c r="J41" s="5">
        <f t="shared" si="17"/>
        <v>0.93078327683615825</v>
      </c>
      <c r="K41" s="6">
        <f>20838.83</f>
        <v>20838.830000000002</v>
      </c>
      <c r="L41" s="6">
        <f>22125</f>
        <v>22125</v>
      </c>
      <c r="M41" s="5">
        <f t="shared" si="18"/>
        <v>0.94186802259887015</v>
      </c>
      <c r="N41" s="4"/>
      <c r="O41" s="6">
        <f>22125</f>
        <v>22125</v>
      </c>
      <c r="P41" s="5">
        <f t="shared" si="19"/>
        <v>0</v>
      </c>
      <c r="Q41" s="4"/>
      <c r="R41" s="6">
        <f>22125</f>
        <v>22125</v>
      </c>
      <c r="S41" s="5">
        <f t="shared" si="20"/>
        <v>0</v>
      </c>
      <c r="T41" s="4"/>
      <c r="U41" s="6">
        <f>22125</f>
        <v>22125</v>
      </c>
      <c r="V41" s="5">
        <f t="shared" si="21"/>
        <v>0</v>
      </c>
      <c r="W41" s="4"/>
      <c r="X41" s="6">
        <f>22125</f>
        <v>22125</v>
      </c>
      <c r="Y41" s="5">
        <f t="shared" si="22"/>
        <v>0</v>
      </c>
      <c r="Z41" s="4"/>
      <c r="AA41" s="6">
        <f>22125</f>
        <v>22125</v>
      </c>
      <c r="AB41" s="5">
        <f t="shared" si="23"/>
        <v>0</v>
      </c>
      <c r="AC41" s="4"/>
      <c r="AD41" s="6">
        <f>22125</f>
        <v>22125</v>
      </c>
      <c r="AE41" s="5">
        <f t="shared" si="24"/>
        <v>0</v>
      </c>
      <c r="AF41" s="4"/>
      <c r="AG41" s="6">
        <f>22125</f>
        <v>22125</v>
      </c>
      <c r="AH41" s="5">
        <f t="shared" si="25"/>
        <v>0</v>
      </c>
      <c r="AI41" s="4"/>
      <c r="AJ41" s="6">
        <f>22125</f>
        <v>22125</v>
      </c>
      <c r="AK41" s="5">
        <f t="shared" si="26"/>
        <v>0</v>
      </c>
      <c r="AL41" s="6">
        <f t="shared" si="27"/>
        <v>85625.34</v>
      </c>
      <c r="AM41" s="6">
        <f t="shared" si="28"/>
        <v>265500</v>
      </c>
      <c r="AN41" s="5">
        <f t="shared" si="29"/>
        <v>0.32250598870056496</v>
      </c>
    </row>
    <row r="42" spans="1:40" x14ac:dyDescent="0.25">
      <c r="A42" s="3" t="s">
        <v>51</v>
      </c>
      <c r="B42" s="4"/>
      <c r="C42" s="6">
        <f>1708.33</f>
        <v>1708.33</v>
      </c>
      <c r="D42" s="5">
        <f t="shared" si="15"/>
        <v>0</v>
      </c>
      <c r="E42" s="4"/>
      <c r="F42" s="6">
        <f>1708.33</f>
        <v>1708.33</v>
      </c>
      <c r="G42" s="5">
        <f t="shared" si="16"/>
        <v>0</v>
      </c>
      <c r="H42" s="4"/>
      <c r="I42" s="6">
        <f>1708.33</f>
        <v>1708.33</v>
      </c>
      <c r="J42" s="5">
        <f t="shared" si="17"/>
        <v>0</v>
      </c>
      <c r="K42" s="4"/>
      <c r="L42" s="6">
        <f>1708.33</f>
        <v>1708.33</v>
      </c>
      <c r="M42" s="5">
        <f t="shared" si="18"/>
        <v>0</v>
      </c>
      <c r="N42" s="4"/>
      <c r="O42" s="6">
        <f>1708.33</f>
        <v>1708.33</v>
      </c>
      <c r="P42" s="5">
        <f t="shared" si="19"/>
        <v>0</v>
      </c>
      <c r="Q42" s="4"/>
      <c r="R42" s="6">
        <f>1708.33</f>
        <v>1708.33</v>
      </c>
      <c r="S42" s="5">
        <f t="shared" si="20"/>
        <v>0</v>
      </c>
      <c r="T42" s="4"/>
      <c r="U42" s="6">
        <f>1708.33</f>
        <v>1708.33</v>
      </c>
      <c r="V42" s="5">
        <f t="shared" si="21"/>
        <v>0</v>
      </c>
      <c r="W42" s="4"/>
      <c r="X42" s="6">
        <f>1708.33</f>
        <v>1708.33</v>
      </c>
      <c r="Y42" s="5">
        <f t="shared" si="22"/>
        <v>0</v>
      </c>
      <c r="Z42" s="4"/>
      <c r="AA42" s="6">
        <f>1708.33</f>
        <v>1708.33</v>
      </c>
      <c r="AB42" s="5">
        <f t="shared" si="23"/>
        <v>0</v>
      </c>
      <c r="AC42" s="4"/>
      <c r="AD42" s="6">
        <f>1708.33</f>
        <v>1708.33</v>
      </c>
      <c r="AE42" s="5">
        <f t="shared" si="24"/>
        <v>0</v>
      </c>
      <c r="AF42" s="4"/>
      <c r="AG42" s="6">
        <f>1708.33</f>
        <v>1708.33</v>
      </c>
      <c r="AH42" s="5">
        <f t="shared" si="25"/>
        <v>0</v>
      </c>
      <c r="AI42" s="4"/>
      <c r="AJ42" s="6">
        <f>1708.37</f>
        <v>1708.37</v>
      </c>
      <c r="AK42" s="5">
        <f t="shared" si="26"/>
        <v>0</v>
      </c>
      <c r="AL42" s="6">
        <f t="shared" si="27"/>
        <v>0</v>
      </c>
      <c r="AM42" s="6">
        <f t="shared" si="28"/>
        <v>20499.999999999996</v>
      </c>
      <c r="AN42" s="5">
        <f t="shared" si="29"/>
        <v>0</v>
      </c>
    </row>
    <row r="43" spans="1:40" x14ac:dyDescent="0.25">
      <c r="A43" s="3" t="s">
        <v>52</v>
      </c>
      <c r="B43" s="4"/>
      <c r="C43" s="6">
        <f>75</f>
        <v>75</v>
      </c>
      <c r="D43" s="5">
        <f t="shared" si="15"/>
        <v>0</v>
      </c>
      <c r="E43" s="4"/>
      <c r="F43" s="6">
        <f>75</f>
        <v>75</v>
      </c>
      <c r="G43" s="5">
        <f t="shared" si="16"/>
        <v>0</v>
      </c>
      <c r="H43" s="4"/>
      <c r="I43" s="6">
        <f>75</f>
        <v>75</v>
      </c>
      <c r="J43" s="5">
        <f t="shared" si="17"/>
        <v>0</v>
      </c>
      <c r="K43" s="4"/>
      <c r="L43" s="6">
        <f>75</f>
        <v>75</v>
      </c>
      <c r="M43" s="5">
        <f t="shared" si="18"/>
        <v>0</v>
      </c>
      <c r="N43" s="4"/>
      <c r="O43" s="6">
        <f>75</f>
        <v>75</v>
      </c>
      <c r="P43" s="5">
        <f t="shared" si="19"/>
        <v>0</v>
      </c>
      <c r="Q43" s="4"/>
      <c r="R43" s="6">
        <f>75</f>
        <v>75</v>
      </c>
      <c r="S43" s="5">
        <f t="shared" si="20"/>
        <v>0</v>
      </c>
      <c r="T43" s="4"/>
      <c r="U43" s="6">
        <f>75</f>
        <v>75</v>
      </c>
      <c r="V43" s="5">
        <f t="shared" si="21"/>
        <v>0</v>
      </c>
      <c r="W43" s="4"/>
      <c r="X43" s="6">
        <f>75</f>
        <v>75</v>
      </c>
      <c r="Y43" s="5">
        <f t="shared" si="22"/>
        <v>0</v>
      </c>
      <c r="Z43" s="4"/>
      <c r="AA43" s="6">
        <f>75</f>
        <v>75</v>
      </c>
      <c r="AB43" s="5">
        <f t="shared" si="23"/>
        <v>0</v>
      </c>
      <c r="AC43" s="4"/>
      <c r="AD43" s="6">
        <f>75</f>
        <v>75</v>
      </c>
      <c r="AE43" s="5">
        <f t="shared" si="24"/>
        <v>0</v>
      </c>
      <c r="AF43" s="4"/>
      <c r="AG43" s="6">
        <f>75</f>
        <v>75</v>
      </c>
      <c r="AH43" s="5">
        <f t="shared" si="25"/>
        <v>0</v>
      </c>
      <c r="AI43" s="4"/>
      <c r="AJ43" s="6">
        <f>75</f>
        <v>75</v>
      </c>
      <c r="AK43" s="5">
        <f t="shared" si="26"/>
        <v>0</v>
      </c>
      <c r="AL43" s="6">
        <f t="shared" si="27"/>
        <v>0</v>
      </c>
      <c r="AM43" s="6">
        <f t="shared" si="28"/>
        <v>900</v>
      </c>
      <c r="AN43" s="5">
        <f t="shared" si="29"/>
        <v>0</v>
      </c>
    </row>
    <row r="44" spans="1:40" x14ac:dyDescent="0.25">
      <c r="A44" s="3" t="s">
        <v>53</v>
      </c>
      <c r="B44" s="4"/>
      <c r="C44" s="6">
        <f>75</f>
        <v>75</v>
      </c>
      <c r="D44" s="5">
        <f t="shared" si="15"/>
        <v>0</v>
      </c>
      <c r="E44" s="4"/>
      <c r="F44" s="6">
        <f>75</f>
        <v>75</v>
      </c>
      <c r="G44" s="5">
        <f t="shared" si="16"/>
        <v>0</v>
      </c>
      <c r="H44" s="4"/>
      <c r="I44" s="6">
        <f>75</f>
        <v>75</v>
      </c>
      <c r="J44" s="5">
        <f t="shared" si="17"/>
        <v>0</v>
      </c>
      <c r="K44" s="4"/>
      <c r="L44" s="6">
        <f>75</f>
        <v>75</v>
      </c>
      <c r="M44" s="5">
        <f t="shared" si="18"/>
        <v>0</v>
      </c>
      <c r="N44" s="4"/>
      <c r="O44" s="6">
        <f>75</f>
        <v>75</v>
      </c>
      <c r="P44" s="5">
        <f t="shared" si="19"/>
        <v>0</v>
      </c>
      <c r="Q44" s="4"/>
      <c r="R44" s="6">
        <f>75</f>
        <v>75</v>
      </c>
      <c r="S44" s="5">
        <f t="shared" si="20"/>
        <v>0</v>
      </c>
      <c r="T44" s="4"/>
      <c r="U44" s="6">
        <f>75</f>
        <v>75</v>
      </c>
      <c r="V44" s="5">
        <f t="shared" si="21"/>
        <v>0</v>
      </c>
      <c r="W44" s="4"/>
      <c r="X44" s="6">
        <f>75</f>
        <v>75</v>
      </c>
      <c r="Y44" s="5">
        <f t="shared" si="22"/>
        <v>0</v>
      </c>
      <c r="Z44" s="4"/>
      <c r="AA44" s="6">
        <f>75</f>
        <v>75</v>
      </c>
      <c r="AB44" s="5">
        <f t="shared" si="23"/>
        <v>0</v>
      </c>
      <c r="AC44" s="4"/>
      <c r="AD44" s="6">
        <f>75</f>
        <v>75</v>
      </c>
      <c r="AE44" s="5">
        <f t="shared" si="24"/>
        <v>0</v>
      </c>
      <c r="AF44" s="4"/>
      <c r="AG44" s="6">
        <f>75</f>
        <v>75</v>
      </c>
      <c r="AH44" s="5">
        <f t="shared" si="25"/>
        <v>0</v>
      </c>
      <c r="AI44" s="4"/>
      <c r="AJ44" s="6">
        <f>75</f>
        <v>75</v>
      </c>
      <c r="AK44" s="5">
        <f t="shared" si="26"/>
        <v>0</v>
      </c>
      <c r="AL44" s="6">
        <f t="shared" si="27"/>
        <v>0</v>
      </c>
      <c r="AM44" s="6">
        <f t="shared" si="28"/>
        <v>900</v>
      </c>
      <c r="AN44" s="5">
        <f t="shared" si="29"/>
        <v>0</v>
      </c>
    </row>
    <row r="45" spans="1:40" x14ac:dyDescent="0.25">
      <c r="A45" s="3" t="s">
        <v>54</v>
      </c>
      <c r="B45" s="4"/>
      <c r="C45" s="6">
        <f>75</f>
        <v>75</v>
      </c>
      <c r="D45" s="5">
        <f t="shared" si="15"/>
        <v>0</v>
      </c>
      <c r="E45" s="4"/>
      <c r="F45" s="6">
        <f>75</f>
        <v>75</v>
      </c>
      <c r="G45" s="5">
        <f t="shared" si="16"/>
        <v>0</v>
      </c>
      <c r="H45" s="4"/>
      <c r="I45" s="6">
        <f>75</f>
        <v>75</v>
      </c>
      <c r="J45" s="5">
        <f t="shared" si="17"/>
        <v>0</v>
      </c>
      <c r="K45" s="4"/>
      <c r="L45" s="6">
        <f>75</f>
        <v>75</v>
      </c>
      <c r="M45" s="5">
        <f t="shared" si="18"/>
        <v>0</v>
      </c>
      <c r="N45" s="4"/>
      <c r="O45" s="6">
        <f>75</f>
        <v>75</v>
      </c>
      <c r="P45" s="5">
        <f t="shared" si="19"/>
        <v>0</v>
      </c>
      <c r="Q45" s="4"/>
      <c r="R45" s="6">
        <f>75</f>
        <v>75</v>
      </c>
      <c r="S45" s="5">
        <f t="shared" si="20"/>
        <v>0</v>
      </c>
      <c r="T45" s="4"/>
      <c r="U45" s="6">
        <f>75</f>
        <v>75</v>
      </c>
      <c r="V45" s="5">
        <f t="shared" si="21"/>
        <v>0</v>
      </c>
      <c r="W45" s="4"/>
      <c r="X45" s="6">
        <f>75</f>
        <v>75</v>
      </c>
      <c r="Y45" s="5">
        <f t="shared" si="22"/>
        <v>0</v>
      </c>
      <c r="Z45" s="4"/>
      <c r="AA45" s="6">
        <f>75</f>
        <v>75</v>
      </c>
      <c r="AB45" s="5">
        <f t="shared" si="23"/>
        <v>0</v>
      </c>
      <c r="AC45" s="4"/>
      <c r="AD45" s="6">
        <f>75</f>
        <v>75</v>
      </c>
      <c r="AE45" s="5">
        <f t="shared" si="24"/>
        <v>0</v>
      </c>
      <c r="AF45" s="4"/>
      <c r="AG45" s="6">
        <f>75</f>
        <v>75</v>
      </c>
      <c r="AH45" s="5">
        <f t="shared" si="25"/>
        <v>0</v>
      </c>
      <c r="AI45" s="4"/>
      <c r="AJ45" s="6">
        <f>75</f>
        <v>75</v>
      </c>
      <c r="AK45" s="5">
        <f t="shared" si="26"/>
        <v>0</v>
      </c>
      <c r="AL45" s="6">
        <f t="shared" si="27"/>
        <v>0</v>
      </c>
      <c r="AM45" s="6">
        <f t="shared" si="28"/>
        <v>900</v>
      </c>
      <c r="AN45" s="5">
        <f t="shared" si="29"/>
        <v>0</v>
      </c>
    </row>
    <row r="46" spans="1:40" x14ac:dyDescent="0.25">
      <c r="A46" s="3" t="s">
        <v>55</v>
      </c>
      <c r="B46" s="4"/>
      <c r="C46" s="6">
        <f>75</f>
        <v>75</v>
      </c>
      <c r="D46" s="5">
        <f t="shared" si="15"/>
        <v>0</v>
      </c>
      <c r="E46" s="4"/>
      <c r="F46" s="6">
        <f>75</f>
        <v>75</v>
      </c>
      <c r="G46" s="5">
        <f t="shared" si="16"/>
        <v>0</v>
      </c>
      <c r="H46" s="4"/>
      <c r="I46" s="6">
        <f>75</f>
        <v>75</v>
      </c>
      <c r="J46" s="5">
        <f t="shared" si="17"/>
        <v>0</v>
      </c>
      <c r="K46" s="4"/>
      <c r="L46" s="6">
        <f>75</f>
        <v>75</v>
      </c>
      <c r="M46" s="5">
        <f t="shared" si="18"/>
        <v>0</v>
      </c>
      <c r="N46" s="4"/>
      <c r="O46" s="6">
        <f>75</f>
        <v>75</v>
      </c>
      <c r="P46" s="5">
        <f t="shared" si="19"/>
        <v>0</v>
      </c>
      <c r="Q46" s="4"/>
      <c r="R46" s="6">
        <f>75</f>
        <v>75</v>
      </c>
      <c r="S46" s="5">
        <f t="shared" si="20"/>
        <v>0</v>
      </c>
      <c r="T46" s="4"/>
      <c r="U46" s="6">
        <f>75</f>
        <v>75</v>
      </c>
      <c r="V46" s="5">
        <f t="shared" si="21"/>
        <v>0</v>
      </c>
      <c r="W46" s="4"/>
      <c r="X46" s="6">
        <f>75</f>
        <v>75</v>
      </c>
      <c r="Y46" s="5">
        <f t="shared" si="22"/>
        <v>0</v>
      </c>
      <c r="Z46" s="4"/>
      <c r="AA46" s="6">
        <f>75</f>
        <v>75</v>
      </c>
      <c r="AB46" s="5">
        <f t="shared" si="23"/>
        <v>0</v>
      </c>
      <c r="AC46" s="4"/>
      <c r="AD46" s="6">
        <f>75</f>
        <v>75</v>
      </c>
      <c r="AE46" s="5">
        <f t="shared" si="24"/>
        <v>0</v>
      </c>
      <c r="AF46" s="4"/>
      <c r="AG46" s="6">
        <f>75</f>
        <v>75</v>
      </c>
      <c r="AH46" s="5">
        <f t="shared" si="25"/>
        <v>0</v>
      </c>
      <c r="AI46" s="4"/>
      <c r="AJ46" s="6">
        <f>75</f>
        <v>75</v>
      </c>
      <c r="AK46" s="5">
        <f t="shared" si="26"/>
        <v>0</v>
      </c>
      <c r="AL46" s="6">
        <f t="shared" si="27"/>
        <v>0</v>
      </c>
      <c r="AM46" s="6">
        <f t="shared" si="28"/>
        <v>900</v>
      </c>
      <c r="AN46" s="5">
        <f t="shared" si="29"/>
        <v>0</v>
      </c>
    </row>
    <row r="47" spans="1:40" x14ac:dyDescent="0.25">
      <c r="A47" s="3" t="s">
        <v>56</v>
      </c>
      <c r="B47" s="4"/>
      <c r="C47" s="6">
        <f>187.5</f>
        <v>187.5</v>
      </c>
      <c r="D47" s="5">
        <f t="shared" si="15"/>
        <v>0</v>
      </c>
      <c r="E47" s="4"/>
      <c r="F47" s="6">
        <f>187.5</f>
        <v>187.5</v>
      </c>
      <c r="G47" s="5">
        <f t="shared" si="16"/>
        <v>0</v>
      </c>
      <c r="H47" s="4"/>
      <c r="I47" s="6">
        <f>187.5</f>
        <v>187.5</v>
      </c>
      <c r="J47" s="5">
        <f t="shared" si="17"/>
        <v>0</v>
      </c>
      <c r="K47" s="6">
        <f>300</f>
        <v>300</v>
      </c>
      <c r="L47" s="6">
        <f>187.5</f>
        <v>187.5</v>
      </c>
      <c r="M47" s="5">
        <f t="shared" si="18"/>
        <v>1.6</v>
      </c>
      <c r="N47" s="4"/>
      <c r="O47" s="6">
        <f>187.5</f>
        <v>187.5</v>
      </c>
      <c r="P47" s="5">
        <f t="shared" si="19"/>
        <v>0</v>
      </c>
      <c r="Q47" s="4"/>
      <c r="R47" s="6">
        <f>187.5</f>
        <v>187.5</v>
      </c>
      <c r="S47" s="5">
        <f t="shared" si="20"/>
        <v>0</v>
      </c>
      <c r="T47" s="4"/>
      <c r="U47" s="6">
        <f>187.5</f>
        <v>187.5</v>
      </c>
      <c r="V47" s="5">
        <f t="shared" si="21"/>
        <v>0</v>
      </c>
      <c r="W47" s="4"/>
      <c r="X47" s="6">
        <f>187.5</f>
        <v>187.5</v>
      </c>
      <c r="Y47" s="5">
        <f t="shared" si="22"/>
        <v>0</v>
      </c>
      <c r="Z47" s="4"/>
      <c r="AA47" s="6">
        <f>187.5</f>
        <v>187.5</v>
      </c>
      <c r="AB47" s="5">
        <f t="shared" si="23"/>
        <v>0</v>
      </c>
      <c r="AC47" s="4"/>
      <c r="AD47" s="6">
        <f>187.5</f>
        <v>187.5</v>
      </c>
      <c r="AE47" s="5">
        <f t="shared" si="24"/>
        <v>0</v>
      </c>
      <c r="AF47" s="4"/>
      <c r="AG47" s="6">
        <f>187.5</f>
        <v>187.5</v>
      </c>
      <c r="AH47" s="5">
        <f t="shared" si="25"/>
        <v>0</v>
      </c>
      <c r="AI47" s="4"/>
      <c r="AJ47" s="6">
        <f>187.5</f>
        <v>187.5</v>
      </c>
      <c r="AK47" s="5">
        <f t="shared" si="26"/>
        <v>0</v>
      </c>
      <c r="AL47" s="6">
        <f t="shared" si="27"/>
        <v>300</v>
      </c>
      <c r="AM47" s="6">
        <f t="shared" si="28"/>
        <v>2250</v>
      </c>
      <c r="AN47" s="5">
        <f t="shared" si="29"/>
        <v>0.13333333333333333</v>
      </c>
    </row>
    <row r="48" spans="1:40" x14ac:dyDescent="0.25">
      <c r="A48" s="3" t="s">
        <v>57</v>
      </c>
      <c r="B48" s="4"/>
      <c r="C48" s="6">
        <f>62.5</f>
        <v>62.5</v>
      </c>
      <c r="D48" s="5">
        <f t="shared" si="15"/>
        <v>0</v>
      </c>
      <c r="E48" s="4"/>
      <c r="F48" s="6">
        <f>62.5</f>
        <v>62.5</v>
      </c>
      <c r="G48" s="5">
        <f t="shared" si="16"/>
        <v>0</v>
      </c>
      <c r="H48" s="4"/>
      <c r="I48" s="6">
        <f>62.5</f>
        <v>62.5</v>
      </c>
      <c r="J48" s="5">
        <f t="shared" si="17"/>
        <v>0</v>
      </c>
      <c r="K48" s="4"/>
      <c r="L48" s="6">
        <f>62.5</f>
        <v>62.5</v>
      </c>
      <c r="M48" s="5">
        <f t="shared" si="18"/>
        <v>0</v>
      </c>
      <c r="N48" s="4"/>
      <c r="O48" s="6">
        <f>62.5</f>
        <v>62.5</v>
      </c>
      <c r="P48" s="5">
        <f t="shared" si="19"/>
        <v>0</v>
      </c>
      <c r="Q48" s="4"/>
      <c r="R48" s="6">
        <f>62.5</f>
        <v>62.5</v>
      </c>
      <c r="S48" s="5">
        <f t="shared" si="20"/>
        <v>0</v>
      </c>
      <c r="T48" s="4"/>
      <c r="U48" s="6">
        <f>62.5</f>
        <v>62.5</v>
      </c>
      <c r="V48" s="5">
        <f t="shared" si="21"/>
        <v>0</v>
      </c>
      <c r="W48" s="4"/>
      <c r="X48" s="6">
        <f>62.5</f>
        <v>62.5</v>
      </c>
      <c r="Y48" s="5">
        <f t="shared" si="22"/>
        <v>0</v>
      </c>
      <c r="Z48" s="4"/>
      <c r="AA48" s="6">
        <f>62.5</f>
        <v>62.5</v>
      </c>
      <c r="AB48" s="5">
        <f t="shared" si="23"/>
        <v>0</v>
      </c>
      <c r="AC48" s="4"/>
      <c r="AD48" s="6">
        <f>62.5</f>
        <v>62.5</v>
      </c>
      <c r="AE48" s="5">
        <f t="shared" si="24"/>
        <v>0</v>
      </c>
      <c r="AF48" s="4"/>
      <c r="AG48" s="6">
        <f>62.5</f>
        <v>62.5</v>
      </c>
      <c r="AH48" s="5">
        <f t="shared" si="25"/>
        <v>0</v>
      </c>
      <c r="AI48" s="4"/>
      <c r="AJ48" s="6">
        <f>62.5</f>
        <v>62.5</v>
      </c>
      <c r="AK48" s="5">
        <f t="shared" si="26"/>
        <v>0</v>
      </c>
      <c r="AL48" s="6">
        <f t="shared" si="27"/>
        <v>0</v>
      </c>
      <c r="AM48" s="6">
        <f t="shared" si="28"/>
        <v>750</v>
      </c>
      <c r="AN48" s="5">
        <f t="shared" si="29"/>
        <v>0</v>
      </c>
    </row>
    <row r="49" spans="1:40" x14ac:dyDescent="0.25">
      <c r="A49" s="3" t="s">
        <v>58</v>
      </c>
      <c r="B49" s="4"/>
      <c r="C49" s="6">
        <f>62.5</f>
        <v>62.5</v>
      </c>
      <c r="D49" s="5">
        <f t="shared" si="15"/>
        <v>0</v>
      </c>
      <c r="E49" s="4"/>
      <c r="F49" s="6">
        <f>62.5</f>
        <v>62.5</v>
      </c>
      <c r="G49" s="5">
        <f t="shared" si="16"/>
        <v>0</v>
      </c>
      <c r="H49" s="4"/>
      <c r="I49" s="6">
        <f>62.5</f>
        <v>62.5</v>
      </c>
      <c r="J49" s="5">
        <f t="shared" si="17"/>
        <v>0</v>
      </c>
      <c r="K49" s="4"/>
      <c r="L49" s="6">
        <f>62.5</f>
        <v>62.5</v>
      </c>
      <c r="M49" s="5">
        <f t="shared" si="18"/>
        <v>0</v>
      </c>
      <c r="N49" s="4"/>
      <c r="O49" s="6">
        <f>62.5</f>
        <v>62.5</v>
      </c>
      <c r="P49" s="5">
        <f t="shared" si="19"/>
        <v>0</v>
      </c>
      <c r="Q49" s="4"/>
      <c r="R49" s="6">
        <f>62.5</f>
        <v>62.5</v>
      </c>
      <c r="S49" s="5">
        <f t="shared" si="20"/>
        <v>0</v>
      </c>
      <c r="T49" s="4"/>
      <c r="U49" s="6">
        <f>62.5</f>
        <v>62.5</v>
      </c>
      <c r="V49" s="5">
        <f t="shared" si="21"/>
        <v>0</v>
      </c>
      <c r="W49" s="4"/>
      <c r="X49" s="6">
        <f>62.5</f>
        <v>62.5</v>
      </c>
      <c r="Y49" s="5">
        <f t="shared" si="22"/>
        <v>0</v>
      </c>
      <c r="Z49" s="4"/>
      <c r="AA49" s="6">
        <f>62.5</f>
        <v>62.5</v>
      </c>
      <c r="AB49" s="5">
        <f t="shared" si="23"/>
        <v>0</v>
      </c>
      <c r="AC49" s="4"/>
      <c r="AD49" s="6">
        <f>62.5</f>
        <v>62.5</v>
      </c>
      <c r="AE49" s="5">
        <f t="shared" si="24"/>
        <v>0</v>
      </c>
      <c r="AF49" s="4"/>
      <c r="AG49" s="6">
        <f>62.5</f>
        <v>62.5</v>
      </c>
      <c r="AH49" s="5">
        <f t="shared" si="25"/>
        <v>0</v>
      </c>
      <c r="AI49" s="4"/>
      <c r="AJ49" s="6">
        <f>62.5</f>
        <v>62.5</v>
      </c>
      <c r="AK49" s="5">
        <f t="shared" si="26"/>
        <v>0</v>
      </c>
      <c r="AL49" s="6">
        <f t="shared" si="27"/>
        <v>0</v>
      </c>
      <c r="AM49" s="6">
        <f t="shared" si="28"/>
        <v>750</v>
      </c>
      <c r="AN49" s="5">
        <f t="shared" si="29"/>
        <v>0</v>
      </c>
    </row>
    <row r="50" spans="1:40" x14ac:dyDescent="0.25">
      <c r="A50" s="3" t="s">
        <v>59</v>
      </c>
      <c r="B50" s="4"/>
      <c r="C50" s="6">
        <f>62.5</f>
        <v>62.5</v>
      </c>
      <c r="D50" s="5">
        <f t="shared" si="15"/>
        <v>0</v>
      </c>
      <c r="E50" s="4"/>
      <c r="F50" s="6">
        <f>62.5</f>
        <v>62.5</v>
      </c>
      <c r="G50" s="5">
        <f t="shared" si="16"/>
        <v>0</v>
      </c>
      <c r="H50" s="4"/>
      <c r="I50" s="6">
        <f>62.5</f>
        <v>62.5</v>
      </c>
      <c r="J50" s="5">
        <f t="shared" si="17"/>
        <v>0</v>
      </c>
      <c r="K50" s="4"/>
      <c r="L50" s="6">
        <f>62.5</f>
        <v>62.5</v>
      </c>
      <c r="M50" s="5">
        <f t="shared" si="18"/>
        <v>0</v>
      </c>
      <c r="N50" s="4"/>
      <c r="O50" s="6">
        <f>62.5</f>
        <v>62.5</v>
      </c>
      <c r="P50" s="5">
        <f t="shared" si="19"/>
        <v>0</v>
      </c>
      <c r="Q50" s="4"/>
      <c r="R50" s="6">
        <f>62.5</f>
        <v>62.5</v>
      </c>
      <c r="S50" s="5">
        <f t="shared" si="20"/>
        <v>0</v>
      </c>
      <c r="T50" s="4"/>
      <c r="U50" s="6">
        <f>62.5</f>
        <v>62.5</v>
      </c>
      <c r="V50" s="5">
        <f t="shared" si="21"/>
        <v>0</v>
      </c>
      <c r="W50" s="4"/>
      <c r="X50" s="6">
        <f>62.5</f>
        <v>62.5</v>
      </c>
      <c r="Y50" s="5">
        <f t="shared" si="22"/>
        <v>0</v>
      </c>
      <c r="Z50" s="4"/>
      <c r="AA50" s="6">
        <f>62.5</f>
        <v>62.5</v>
      </c>
      <c r="AB50" s="5">
        <f t="shared" si="23"/>
        <v>0</v>
      </c>
      <c r="AC50" s="4"/>
      <c r="AD50" s="6">
        <f>62.5</f>
        <v>62.5</v>
      </c>
      <c r="AE50" s="5">
        <f t="shared" si="24"/>
        <v>0</v>
      </c>
      <c r="AF50" s="4"/>
      <c r="AG50" s="6">
        <f>62.5</f>
        <v>62.5</v>
      </c>
      <c r="AH50" s="5">
        <f t="shared" si="25"/>
        <v>0</v>
      </c>
      <c r="AI50" s="4"/>
      <c r="AJ50" s="6">
        <f>62.5</f>
        <v>62.5</v>
      </c>
      <c r="AK50" s="5">
        <f t="shared" si="26"/>
        <v>0</v>
      </c>
      <c r="AL50" s="6">
        <f t="shared" si="27"/>
        <v>0</v>
      </c>
      <c r="AM50" s="6">
        <f t="shared" si="28"/>
        <v>750</v>
      </c>
      <c r="AN50" s="5">
        <f t="shared" si="29"/>
        <v>0</v>
      </c>
    </row>
    <row r="51" spans="1:40" x14ac:dyDescent="0.25">
      <c r="A51" s="3" t="s">
        <v>60</v>
      </c>
      <c r="B51" s="7">
        <f>((((((((B42)+(B43))+(B44))+(B45))+(B46))+(B47))+(B48))+(B49))+(B50)</f>
        <v>0</v>
      </c>
      <c r="C51" s="7">
        <f>((((((((C42)+(C43))+(C44))+(C45))+(C46))+(C47))+(C48))+(C49))+(C50)</f>
        <v>2383.33</v>
      </c>
      <c r="D51" s="8">
        <f t="shared" si="15"/>
        <v>0</v>
      </c>
      <c r="E51" s="7">
        <f>((((((((E42)+(E43))+(E44))+(E45))+(E46))+(E47))+(E48))+(E49))+(E50)</f>
        <v>0</v>
      </c>
      <c r="F51" s="7">
        <f>((((((((F42)+(F43))+(F44))+(F45))+(F46))+(F47))+(F48))+(F49))+(F50)</f>
        <v>2383.33</v>
      </c>
      <c r="G51" s="8">
        <f t="shared" si="16"/>
        <v>0</v>
      </c>
      <c r="H51" s="7">
        <f>((((((((H42)+(H43))+(H44))+(H45))+(H46))+(H47))+(H48))+(H49))+(H50)</f>
        <v>0</v>
      </c>
      <c r="I51" s="7">
        <f>((((((((I42)+(I43))+(I44))+(I45))+(I46))+(I47))+(I48))+(I49))+(I50)</f>
        <v>2383.33</v>
      </c>
      <c r="J51" s="8">
        <f t="shared" si="17"/>
        <v>0</v>
      </c>
      <c r="K51" s="7">
        <f>((((((((K42)+(K43))+(K44))+(K45))+(K46))+(K47))+(K48))+(K49))+(K50)</f>
        <v>300</v>
      </c>
      <c r="L51" s="7">
        <f>((((((((L42)+(L43))+(L44))+(L45))+(L46))+(L47))+(L48))+(L49))+(L50)</f>
        <v>2383.33</v>
      </c>
      <c r="M51" s="8">
        <f t="shared" si="18"/>
        <v>0.12587430192210058</v>
      </c>
      <c r="N51" s="7">
        <f>((((((((N42)+(N43))+(N44))+(N45))+(N46))+(N47))+(N48))+(N49))+(N50)</f>
        <v>0</v>
      </c>
      <c r="O51" s="7">
        <f>((((((((O42)+(O43))+(O44))+(O45))+(O46))+(O47))+(O48))+(O49))+(O50)</f>
        <v>2383.33</v>
      </c>
      <c r="P51" s="8">
        <f t="shared" si="19"/>
        <v>0</v>
      </c>
      <c r="Q51" s="7">
        <f>((((((((Q42)+(Q43))+(Q44))+(Q45))+(Q46))+(Q47))+(Q48))+(Q49))+(Q50)</f>
        <v>0</v>
      </c>
      <c r="R51" s="7">
        <f>((((((((R42)+(R43))+(R44))+(R45))+(R46))+(R47))+(R48))+(R49))+(R50)</f>
        <v>2383.33</v>
      </c>
      <c r="S51" s="8">
        <f t="shared" si="20"/>
        <v>0</v>
      </c>
      <c r="T51" s="7">
        <f>((((((((T42)+(T43))+(T44))+(T45))+(T46))+(T47))+(T48))+(T49))+(T50)</f>
        <v>0</v>
      </c>
      <c r="U51" s="7">
        <f>((((((((U42)+(U43))+(U44))+(U45))+(U46))+(U47))+(U48))+(U49))+(U50)</f>
        <v>2383.33</v>
      </c>
      <c r="V51" s="8">
        <f t="shared" si="21"/>
        <v>0</v>
      </c>
      <c r="W51" s="7">
        <f>((((((((W42)+(W43))+(W44))+(W45))+(W46))+(W47))+(W48))+(W49))+(W50)</f>
        <v>0</v>
      </c>
      <c r="X51" s="7">
        <f>((((((((X42)+(X43))+(X44))+(X45))+(X46))+(X47))+(X48))+(X49))+(X50)</f>
        <v>2383.33</v>
      </c>
      <c r="Y51" s="8">
        <f t="shared" si="22"/>
        <v>0</v>
      </c>
      <c r="Z51" s="7">
        <f>((((((((Z42)+(Z43))+(Z44))+(Z45))+(Z46))+(Z47))+(Z48))+(Z49))+(Z50)</f>
        <v>0</v>
      </c>
      <c r="AA51" s="7">
        <f>((((((((AA42)+(AA43))+(AA44))+(AA45))+(AA46))+(AA47))+(AA48))+(AA49))+(AA50)</f>
        <v>2383.33</v>
      </c>
      <c r="AB51" s="8">
        <f t="shared" si="23"/>
        <v>0</v>
      </c>
      <c r="AC51" s="7">
        <f>((((((((AC42)+(AC43))+(AC44))+(AC45))+(AC46))+(AC47))+(AC48))+(AC49))+(AC50)</f>
        <v>0</v>
      </c>
      <c r="AD51" s="7">
        <f>((((((((AD42)+(AD43))+(AD44))+(AD45))+(AD46))+(AD47))+(AD48))+(AD49))+(AD50)</f>
        <v>2383.33</v>
      </c>
      <c r="AE51" s="8">
        <f t="shared" si="24"/>
        <v>0</v>
      </c>
      <c r="AF51" s="7">
        <f>((((((((AF42)+(AF43))+(AF44))+(AF45))+(AF46))+(AF47))+(AF48))+(AF49))+(AF50)</f>
        <v>0</v>
      </c>
      <c r="AG51" s="7">
        <f>((((((((AG42)+(AG43))+(AG44))+(AG45))+(AG46))+(AG47))+(AG48))+(AG49))+(AG50)</f>
        <v>2383.33</v>
      </c>
      <c r="AH51" s="8">
        <f t="shared" si="25"/>
        <v>0</v>
      </c>
      <c r="AI51" s="7">
        <f>((((((((AI42)+(AI43))+(AI44))+(AI45))+(AI46))+(AI47))+(AI48))+(AI49))+(AI50)</f>
        <v>0</v>
      </c>
      <c r="AJ51" s="7">
        <f>((((((((AJ42)+(AJ43))+(AJ44))+(AJ45))+(AJ46))+(AJ47))+(AJ48))+(AJ49))+(AJ50)</f>
        <v>2383.37</v>
      </c>
      <c r="AK51" s="8">
        <f t="shared" si="26"/>
        <v>0</v>
      </c>
      <c r="AL51" s="7">
        <f t="shared" si="27"/>
        <v>300</v>
      </c>
      <c r="AM51" s="7">
        <f t="shared" si="28"/>
        <v>28600.000000000004</v>
      </c>
      <c r="AN51" s="8">
        <f t="shared" si="29"/>
        <v>1.0489510489510488E-2</v>
      </c>
    </row>
    <row r="52" spans="1:40" x14ac:dyDescent="0.25">
      <c r="A52" s="3" t="s">
        <v>61</v>
      </c>
      <c r="B52" s="7">
        <f>((B40)+(B41))+(B51)</f>
        <v>23132.1</v>
      </c>
      <c r="C52" s="7">
        <f>((C40)+(C41))+(C51)</f>
        <v>24508.33</v>
      </c>
      <c r="D52" s="8">
        <f t="shared" si="15"/>
        <v>0.94384643914946453</v>
      </c>
      <c r="E52" s="7">
        <f>((E40)+(E41))+(E51)</f>
        <v>21060.83</v>
      </c>
      <c r="F52" s="7">
        <f>((F40)+(F41))+(F51)</f>
        <v>24508.33</v>
      </c>
      <c r="G52" s="8">
        <f t="shared" si="16"/>
        <v>0.85933354088181446</v>
      </c>
      <c r="H52" s="7">
        <f>((H40)+(H41))+(H51)</f>
        <v>20593.580000000002</v>
      </c>
      <c r="I52" s="7">
        <f>((I40)+(I41))+(I51)</f>
        <v>24508.33</v>
      </c>
      <c r="J52" s="8">
        <f t="shared" si="17"/>
        <v>0.84026859439219237</v>
      </c>
      <c r="K52" s="7">
        <f>((K40)+(K41))+(K51)</f>
        <v>21138.83</v>
      </c>
      <c r="L52" s="7">
        <f>((L40)+(L41))+(L51)</f>
        <v>24508.33</v>
      </c>
      <c r="M52" s="8">
        <f t="shared" si="18"/>
        <v>0.86251613227013024</v>
      </c>
      <c r="N52" s="7">
        <f>((N40)+(N41))+(N51)</f>
        <v>0</v>
      </c>
      <c r="O52" s="7">
        <f>((O40)+(O41))+(O51)</f>
        <v>24508.33</v>
      </c>
      <c r="P52" s="8">
        <f t="shared" si="19"/>
        <v>0</v>
      </c>
      <c r="Q52" s="7">
        <f>((Q40)+(Q41))+(Q51)</f>
        <v>0</v>
      </c>
      <c r="R52" s="7">
        <f>((R40)+(R41))+(R51)</f>
        <v>24508.33</v>
      </c>
      <c r="S52" s="8">
        <f t="shared" si="20"/>
        <v>0</v>
      </c>
      <c r="T52" s="7">
        <f>((T40)+(T41))+(T51)</f>
        <v>0</v>
      </c>
      <c r="U52" s="7">
        <f>((U40)+(U41))+(U51)</f>
        <v>24508.33</v>
      </c>
      <c r="V52" s="8">
        <f t="shared" si="21"/>
        <v>0</v>
      </c>
      <c r="W52" s="7">
        <f>((W40)+(W41))+(W51)</f>
        <v>0</v>
      </c>
      <c r="X52" s="7">
        <f>((X40)+(X41))+(X51)</f>
        <v>24508.33</v>
      </c>
      <c r="Y52" s="8">
        <f t="shared" si="22"/>
        <v>0</v>
      </c>
      <c r="Z52" s="7">
        <f>((Z40)+(Z41))+(Z51)</f>
        <v>0</v>
      </c>
      <c r="AA52" s="7">
        <f>((AA40)+(AA41))+(AA51)</f>
        <v>24508.33</v>
      </c>
      <c r="AB52" s="8">
        <f t="shared" si="23"/>
        <v>0</v>
      </c>
      <c r="AC52" s="7">
        <f>((AC40)+(AC41))+(AC51)</f>
        <v>0</v>
      </c>
      <c r="AD52" s="7">
        <f>((AD40)+(AD41))+(AD51)</f>
        <v>24508.33</v>
      </c>
      <c r="AE52" s="8">
        <f t="shared" si="24"/>
        <v>0</v>
      </c>
      <c r="AF52" s="7">
        <f>((AF40)+(AF41))+(AF51)</f>
        <v>0</v>
      </c>
      <c r="AG52" s="7">
        <f>((AG40)+(AG41))+(AG51)</f>
        <v>24508.33</v>
      </c>
      <c r="AH52" s="8">
        <f t="shared" si="25"/>
        <v>0</v>
      </c>
      <c r="AI52" s="7">
        <f>((AI40)+(AI41))+(AI51)</f>
        <v>0</v>
      </c>
      <c r="AJ52" s="7">
        <f>((AJ40)+(AJ41))+(AJ51)</f>
        <v>24508.37</v>
      </c>
      <c r="AK52" s="8">
        <f t="shared" si="26"/>
        <v>0</v>
      </c>
      <c r="AL52" s="7">
        <f t="shared" si="27"/>
        <v>85925.34</v>
      </c>
      <c r="AM52" s="7">
        <f t="shared" si="28"/>
        <v>294100.00000000006</v>
      </c>
      <c r="AN52" s="8">
        <f t="shared" si="29"/>
        <v>0.29216368582114921</v>
      </c>
    </row>
    <row r="53" spans="1:40" x14ac:dyDescent="0.25">
      <c r="A53" s="3" t="s">
        <v>62</v>
      </c>
      <c r="B53" s="6">
        <f>1468.2</f>
        <v>1468.2</v>
      </c>
      <c r="C53" s="6">
        <f>1491.67</f>
        <v>1491.67</v>
      </c>
      <c r="D53" s="5">
        <f t="shared" si="15"/>
        <v>0.98426595694758223</v>
      </c>
      <c r="E53" s="6">
        <f>1611.15</f>
        <v>1611.15</v>
      </c>
      <c r="F53" s="6">
        <f>1491.67</f>
        <v>1491.67</v>
      </c>
      <c r="G53" s="5">
        <f t="shared" si="16"/>
        <v>1.0800981450320781</v>
      </c>
      <c r="H53" s="6">
        <f>1575.42</f>
        <v>1575.42</v>
      </c>
      <c r="I53" s="6">
        <f>1491.67</f>
        <v>1491.67</v>
      </c>
      <c r="J53" s="5">
        <f t="shared" si="17"/>
        <v>1.0561451259326795</v>
      </c>
      <c r="K53" s="6">
        <f>1711.59</f>
        <v>1711.59</v>
      </c>
      <c r="L53" s="6">
        <f>1491.67</f>
        <v>1491.67</v>
      </c>
      <c r="M53" s="5">
        <f t="shared" si="18"/>
        <v>1.1474320727774909</v>
      </c>
      <c r="N53" s="4"/>
      <c r="O53" s="6">
        <f>1491.67</f>
        <v>1491.67</v>
      </c>
      <c r="P53" s="5">
        <f t="shared" si="19"/>
        <v>0</v>
      </c>
      <c r="Q53" s="4"/>
      <c r="R53" s="6">
        <f>1491.67</f>
        <v>1491.67</v>
      </c>
      <c r="S53" s="5">
        <f t="shared" si="20"/>
        <v>0</v>
      </c>
      <c r="T53" s="4"/>
      <c r="U53" s="6">
        <f>1491.67</f>
        <v>1491.67</v>
      </c>
      <c r="V53" s="5">
        <f t="shared" si="21"/>
        <v>0</v>
      </c>
      <c r="W53" s="4"/>
      <c r="X53" s="6">
        <f>1491.67</f>
        <v>1491.67</v>
      </c>
      <c r="Y53" s="5">
        <f t="shared" si="22"/>
        <v>0</v>
      </c>
      <c r="Z53" s="4"/>
      <c r="AA53" s="6">
        <f>1491.67</f>
        <v>1491.67</v>
      </c>
      <c r="AB53" s="5">
        <f t="shared" si="23"/>
        <v>0</v>
      </c>
      <c r="AC53" s="4"/>
      <c r="AD53" s="6">
        <f>1491.67</f>
        <v>1491.67</v>
      </c>
      <c r="AE53" s="5">
        <f t="shared" si="24"/>
        <v>0</v>
      </c>
      <c r="AF53" s="4"/>
      <c r="AG53" s="6">
        <f>1491.67</f>
        <v>1491.67</v>
      </c>
      <c r="AH53" s="5">
        <f t="shared" si="25"/>
        <v>0</v>
      </c>
      <c r="AI53" s="4"/>
      <c r="AJ53" s="6">
        <f>1491.63</f>
        <v>1491.63</v>
      </c>
      <c r="AK53" s="5">
        <f t="shared" si="26"/>
        <v>0</v>
      </c>
      <c r="AL53" s="6">
        <f t="shared" si="27"/>
        <v>6366.3600000000006</v>
      </c>
      <c r="AM53" s="6">
        <f t="shared" si="28"/>
        <v>17900.000000000004</v>
      </c>
      <c r="AN53" s="5">
        <f t="shared" si="29"/>
        <v>0.35566256983240219</v>
      </c>
    </row>
    <row r="54" spans="1:40" x14ac:dyDescent="0.25">
      <c r="A54" s="3" t="s">
        <v>63</v>
      </c>
      <c r="B54" s="4"/>
      <c r="C54" s="6">
        <f>0</f>
        <v>0</v>
      </c>
      <c r="D54" s="5" t="str">
        <f t="shared" si="15"/>
        <v/>
      </c>
      <c r="E54" s="4"/>
      <c r="F54" s="6">
        <f>0</f>
        <v>0</v>
      </c>
      <c r="G54" s="5" t="str">
        <f t="shared" si="16"/>
        <v/>
      </c>
      <c r="H54" s="4"/>
      <c r="I54" s="6">
        <f>0</f>
        <v>0</v>
      </c>
      <c r="J54" s="5" t="str">
        <f t="shared" si="17"/>
        <v/>
      </c>
      <c r="K54" s="6">
        <f>0</f>
        <v>0</v>
      </c>
      <c r="L54" s="6">
        <f>0</f>
        <v>0</v>
      </c>
      <c r="M54" s="5" t="str">
        <f t="shared" si="18"/>
        <v/>
      </c>
      <c r="N54" s="4"/>
      <c r="O54" s="6">
        <f>0</f>
        <v>0</v>
      </c>
      <c r="P54" s="5" t="str">
        <f t="shared" si="19"/>
        <v/>
      </c>
      <c r="Q54" s="4"/>
      <c r="R54" s="6">
        <f>0</f>
        <v>0</v>
      </c>
      <c r="S54" s="5" t="str">
        <f t="shared" si="20"/>
        <v/>
      </c>
      <c r="T54" s="4"/>
      <c r="U54" s="6">
        <f>0</f>
        <v>0</v>
      </c>
      <c r="V54" s="5" t="str">
        <f t="shared" si="21"/>
        <v/>
      </c>
      <c r="W54" s="4"/>
      <c r="X54" s="6">
        <f>0</f>
        <v>0</v>
      </c>
      <c r="Y54" s="5" t="str">
        <f t="shared" si="22"/>
        <v/>
      </c>
      <c r="Z54" s="4"/>
      <c r="AA54" s="6">
        <f>0</f>
        <v>0</v>
      </c>
      <c r="AB54" s="5" t="str">
        <f t="shared" si="23"/>
        <v/>
      </c>
      <c r="AC54" s="4"/>
      <c r="AD54" s="6">
        <f>0</f>
        <v>0</v>
      </c>
      <c r="AE54" s="5" t="str">
        <f t="shared" si="24"/>
        <v/>
      </c>
      <c r="AF54" s="4"/>
      <c r="AG54" s="6">
        <f>0</f>
        <v>0</v>
      </c>
      <c r="AH54" s="5" t="str">
        <f t="shared" si="25"/>
        <v/>
      </c>
      <c r="AI54" s="4"/>
      <c r="AJ54" s="6">
        <f>0</f>
        <v>0</v>
      </c>
      <c r="AK54" s="5" t="str">
        <f t="shared" si="26"/>
        <v/>
      </c>
      <c r="AL54" s="6">
        <f t="shared" si="27"/>
        <v>0</v>
      </c>
      <c r="AM54" s="6">
        <f t="shared" si="28"/>
        <v>0</v>
      </c>
      <c r="AN54" s="5" t="str">
        <f t="shared" si="29"/>
        <v/>
      </c>
    </row>
    <row r="55" spans="1:40" x14ac:dyDescent="0.25">
      <c r="A55" s="3" t="s">
        <v>64</v>
      </c>
      <c r="B55" s="4"/>
      <c r="C55" s="6">
        <f>0</f>
        <v>0</v>
      </c>
      <c r="D55" s="5" t="str">
        <f t="shared" si="15"/>
        <v/>
      </c>
      <c r="E55" s="4"/>
      <c r="F55" s="6">
        <f>0</f>
        <v>0</v>
      </c>
      <c r="G55" s="5" t="str">
        <f t="shared" si="16"/>
        <v/>
      </c>
      <c r="H55" s="4"/>
      <c r="I55" s="6">
        <f>0</f>
        <v>0</v>
      </c>
      <c r="J55" s="5" t="str">
        <f t="shared" si="17"/>
        <v/>
      </c>
      <c r="K55" s="6">
        <f>0</f>
        <v>0</v>
      </c>
      <c r="L55" s="6">
        <f>0</f>
        <v>0</v>
      </c>
      <c r="M55" s="5" t="str">
        <f t="shared" si="18"/>
        <v/>
      </c>
      <c r="N55" s="4"/>
      <c r="O55" s="6">
        <f>0</f>
        <v>0</v>
      </c>
      <c r="P55" s="5" t="str">
        <f t="shared" si="19"/>
        <v/>
      </c>
      <c r="Q55" s="4"/>
      <c r="R55" s="6">
        <f>0</f>
        <v>0</v>
      </c>
      <c r="S55" s="5" t="str">
        <f t="shared" si="20"/>
        <v/>
      </c>
      <c r="T55" s="4"/>
      <c r="U55" s="6">
        <f>0</f>
        <v>0</v>
      </c>
      <c r="V55" s="5" t="str">
        <f t="shared" si="21"/>
        <v/>
      </c>
      <c r="W55" s="4"/>
      <c r="X55" s="6">
        <f>0</f>
        <v>0</v>
      </c>
      <c r="Y55" s="5" t="str">
        <f t="shared" si="22"/>
        <v/>
      </c>
      <c r="Z55" s="4"/>
      <c r="AA55" s="6">
        <f>0</f>
        <v>0</v>
      </c>
      <c r="AB55" s="5" t="str">
        <f t="shared" si="23"/>
        <v/>
      </c>
      <c r="AC55" s="4"/>
      <c r="AD55" s="6">
        <f>0</f>
        <v>0</v>
      </c>
      <c r="AE55" s="5" t="str">
        <f t="shared" si="24"/>
        <v/>
      </c>
      <c r="AF55" s="4"/>
      <c r="AG55" s="6">
        <f>0</f>
        <v>0</v>
      </c>
      <c r="AH55" s="5" t="str">
        <f t="shared" si="25"/>
        <v/>
      </c>
      <c r="AI55" s="4"/>
      <c r="AJ55" s="6">
        <f>0</f>
        <v>0</v>
      </c>
      <c r="AK55" s="5" t="str">
        <f t="shared" si="26"/>
        <v/>
      </c>
      <c r="AL55" s="6">
        <f t="shared" si="27"/>
        <v>0</v>
      </c>
      <c r="AM55" s="6">
        <f t="shared" si="28"/>
        <v>0</v>
      </c>
      <c r="AN55" s="5" t="str">
        <f t="shared" si="29"/>
        <v/>
      </c>
    </row>
    <row r="56" spans="1:40" x14ac:dyDescent="0.25">
      <c r="A56" s="3" t="s">
        <v>65</v>
      </c>
      <c r="B56" s="7">
        <f>((((B39)+(B52))+(B53))+(B54))+(B55)</f>
        <v>24600.3</v>
      </c>
      <c r="C56" s="7">
        <f>((((C39)+(C52))+(C53))+(C54))+(C55)</f>
        <v>26000</v>
      </c>
      <c r="D56" s="8">
        <f t="shared" si="15"/>
        <v>0.94616538461538457</v>
      </c>
      <c r="E56" s="7">
        <f>((((E39)+(E52))+(E53))+(E54))+(E55)</f>
        <v>22671.980000000003</v>
      </c>
      <c r="F56" s="7">
        <f>((((F39)+(F52))+(F53))+(F54))+(F55)</f>
        <v>26000</v>
      </c>
      <c r="G56" s="8">
        <f t="shared" si="16"/>
        <v>0.87199923076923092</v>
      </c>
      <c r="H56" s="7">
        <f>((((H39)+(H52))+(H53))+(H54))+(H55)</f>
        <v>22169</v>
      </c>
      <c r="I56" s="7">
        <f>((((I39)+(I52))+(I53))+(I54))+(I55)</f>
        <v>26000</v>
      </c>
      <c r="J56" s="8">
        <f t="shared" si="17"/>
        <v>0.85265384615384621</v>
      </c>
      <c r="K56" s="7">
        <f>((((K39)+(K52))+(K53))+(K54))+(K55)</f>
        <v>22850.420000000002</v>
      </c>
      <c r="L56" s="7">
        <f>((((L39)+(L52))+(L53))+(L54))+(L55)</f>
        <v>26000</v>
      </c>
      <c r="M56" s="8">
        <f t="shared" si="18"/>
        <v>0.87886230769230778</v>
      </c>
      <c r="N56" s="7">
        <f>((((N39)+(N52))+(N53))+(N54))+(N55)</f>
        <v>0</v>
      </c>
      <c r="O56" s="7">
        <f>((((O39)+(O52))+(O53))+(O54))+(O55)</f>
        <v>26000</v>
      </c>
      <c r="P56" s="8">
        <f t="shared" si="19"/>
        <v>0</v>
      </c>
      <c r="Q56" s="7">
        <f>((((Q39)+(Q52))+(Q53))+(Q54))+(Q55)</f>
        <v>0</v>
      </c>
      <c r="R56" s="7">
        <f>((((R39)+(R52))+(R53))+(R54))+(R55)</f>
        <v>26000</v>
      </c>
      <c r="S56" s="8">
        <f t="shared" si="20"/>
        <v>0</v>
      </c>
      <c r="T56" s="7">
        <f>((((T39)+(T52))+(T53))+(T54))+(T55)</f>
        <v>0</v>
      </c>
      <c r="U56" s="7">
        <f>((((U39)+(U52))+(U53))+(U54))+(U55)</f>
        <v>26000</v>
      </c>
      <c r="V56" s="8">
        <f t="shared" si="21"/>
        <v>0</v>
      </c>
      <c r="W56" s="7">
        <f>((((W39)+(W52))+(W53))+(W54))+(W55)</f>
        <v>0</v>
      </c>
      <c r="X56" s="7">
        <f>((((X39)+(X52))+(X53))+(X54))+(X55)</f>
        <v>26000</v>
      </c>
      <c r="Y56" s="8">
        <f t="shared" si="22"/>
        <v>0</v>
      </c>
      <c r="Z56" s="7">
        <f>((((Z39)+(Z52))+(Z53))+(Z54))+(Z55)</f>
        <v>0</v>
      </c>
      <c r="AA56" s="7">
        <f>((((AA39)+(AA52))+(AA53))+(AA54))+(AA55)</f>
        <v>26000</v>
      </c>
      <c r="AB56" s="8">
        <f t="shared" si="23"/>
        <v>0</v>
      </c>
      <c r="AC56" s="7">
        <f>((((AC39)+(AC52))+(AC53))+(AC54))+(AC55)</f>
        <v>0</v>
      </c>
      <c r="AD56" s="7">
        <f>((((AD39)+(AD52))+(AD53))+(AD54))+(AD55)</f>
        <v>26000</v>
      </c>
      <c r="AE56" s="8">
        <f t="shared" si="24"/>
        <v>0</v>
      </c>
      <c r="AF56" s="7">
        <f>((((AF39)+(AF52))+(AF53))+(AF54))+(AF55)</f>
        <v>0</v>
      </c>
      <c r="AG56" s="7">
        <f>((((AG39)+(AG52))+(AG53))+(AG54))+(AG55)</f>
        <v>26000</v>
      </c>
      <c r="AH56" s="8">
        <f t="shared" si="25"/>
        <v>0</v>
      </c>
      <c r="AI56" s="7">
        <f>((((AI39)+(AI52))+(AI53))+(AI54))+(AI55)</f>
        <v>0</v>
      </c>
      <c r="AJ56" s="7">
        <f>((((AJ39)+(AJ52))+(AJ53))+(AJ54))+(AJ55)</f>
        <v>26000</v>
      </c>
      <c r="AK56" s="8">
        <f t="shared" si="26"/>
        <v>0</v>
      </c>
      <c r="AL56" s="7">
        <f t="shared" si="27"/>
        <v>92291.7</v>
      </c>
      <c r="AM56" s="7">
        <f t="shared" si="28"/>
        <v>312000</v>
      </c>
      <c r="AN56" s="8">
        <f t="shared" si="29"/>
        <v>0.29580673076923075</v>
      </c>
    </row>
    <row r="57" spans="1:40" x14ac:dyDescent="0.25">
      <c r="A57" s="3" t="s">
        <v>66</v>
      </c>
      <c r="B57" s="4"/>
      <c r="C57" s="6">
        <f>0</f>
        <v>0</v>
      </c>
      <c r="D57" s="5" t="str">
        <f t="shared" si="15"/>
        <v/>
      </c>
      <c r="E57" s="4"/>
      <c r="F57" s="6">
        <f>0</f>
        <v>0</v>
      </c>
      <c r="G57" s="5" t="str">
        <f t="shared" si="16"/>
        <v/>
      </c>
      <c r="H57" s="4"/>
      <c r="I57" s="6">
        <f>0</f>
        <v>0</v>
      </c>
      <c r="J57" s="5" t="str">
        <f t="shared" si="17"/>
        <v/>
      </c>
      <c r="K57" s="4"/>
      <c r="L57" s="6">
        <f>0</f>
        <v>0</v>
      </c>
      <c r="M57" s="5" t="str">
        <f t="shared" si="18"/>
        <v/>
      </c>
      <c r="N57" s="4"/>
      <c r="O57" s="6">
        <f>0</f>
        <v>0</v>
      </c>
      <c r="P57" s="5" t="str">
        <f t="shared" si="19"/>
        <v/>
      </c>
      <c r="Q57" s="4"/>
      <c r="R57" s="6">
        <f>0</f>
        <v>0</v>
      </c>
      <c r="S57" s="5" t="str">
        <f t="shared" si="20"/>
        <v/>
      </c>
      <c r="T57" s="4"/>
      <c r="U57" s="6">
        <f>0</f>
        <v>0</v>
      </c>
      <c r="V57" s="5" t="str">
        <f t="shared" si="21"/>
        <v/>
      </c>
      <c r="W57" s="4"/>
      <c r="X57" s="6">
        <f>0</f>
        <v>0</v>
      </c>
      <c r="Y57" s="5" t="str">
        <f t="shared" si="22"/>
        <v/>
      </c>
      <c r="Z57" s="4"/>
      <c r="AA57" s="6">
        <f>0</f>
        <v>0</v>
      </c>
      <c r="AB57" s="5" t="str">
        <f t="shared" si="23"/>
        <v/>
      </c>
      <c r="AC57" s="4"/>
      <c r="AD57" s="6">
        <f>0</f>
        <v>0</v>
      </c>
      <c r="AE57" s="5" t="str">
        <f t="shared" si="24"/>
        <v/>
      </c>
      <c r="AF57" s="4"/>
      <c r="AG57" s="6">
        <f>0</f>
        <v>0</v>
      </c>
      <c r="AH57" s="5" t="str">
        <f t="shared" si="25"/>
        <v/>
      </c>
      <c r="AI57" s="4"/>
      <c r="AJ57" s="6">
        <f>0</f>
        <v>0</v>
      </c>
      <c r="AK57" s="5" t="str">
        <f t="shared" si="26"/>
        <v/>
      </c>
      <c r="AL57" s="6">
        <f t="shared" si="27"/>
        <v>0</v>
      </c>
      <c r="AM57" s="6">
        <f t="shared" si="28"/>
        <v>0</v>
      </c>
      <c r="AN57" s="5" t="str">
        <f t="shared" si="29"/>
        <v/>
      </c>
    </row>
    <row r="58" spans="1:40" x14ac:dyDescent="0.25">
      <c r="A58" s="3" t="s">
        <v>67</v>
      </c>
      <c r="B58" s="4"/>
      <c r="C58" s="4"/>
      <c r="D58" s="5" t="str">
        <f t="shared" si="15"/>
        <v/>
      </c>
      <c r="E58" s="4"/>
      <c r="F58" s="4"/>
      <c r="G58" s="5" t="str">
        <f t="shared" si="16"/>
        <v/>
      </c>
      <c r="H58" s="4"/>
      <c r="I58" s="4"/>
      <c r="J58" s="5" t="str">
        <f t="shared" si="17"/>
        <v/>
      </c>
      <c r="K58" s="4"/>
      <c r="L58" s="4"/>
      <c r="M58" s="5" t="str">
        <f t="shared" si="18"/>
        <v/>
      </c>
      <c r="N58" s="4"/>
      <c r="O58" s="4"/>
      <c r="P58" s="5" t="str">
        <f t="shared" si="19"/>
        <v/>
      </c>
      <c r="Q58" s="4"/>
      <c r="R58" s="4"/>
      <c r="S58" s="5" t="str">
        <f t="shared" si="20"/>
        <v/>
      </c>
      <c r="T58" s="4"/>
      <c r="U58" s="4"/>
      <c r="V58" s="5" t="str">
        <f t="shared" si="21"/>
        <v/>
      </c>
      <c r="W58" s="4"/>
      <c r="X58" s="4"/>
      <c r="Y58" s="5" t="str">
        <f t="shared" si="22"/>
        <v/>
      </c>
      <c r="Z58" s="4"/>
      <c r="AA58" s="4"/>
      <c r="AB58" s="5" t="str">
        <f t="shared" si="23"/>
        <v/>
      </c>
      <c r="AC58" s="4"/>
      <c r="AD58" s="4"/>
      <c r="AE58" s="5" t="str">
        <f t="shared" si="24"/>
        <v/>
      </c>
      <c r="AF58" s="4"/>
      <c r="AG58" s="4"/>
      <c r="AH58" s="5" t="str">
        <f t="shared" si="25"/>
        <v/>
      </c>
      <c r="AI58" s="4"/>
      <c r="AJ58" s="4"/>
      <c r="AK58" s="5" t="str">
        <f t="shared" si="26"/>
        <v/>
      </c>
      <c r="AL58" s="6">
        <f t="shared" si="27"/>
        <v>0</v>
      </c>
      <c r="AM58" s="6">
        <f t="shared" si="28"/>
        <v>0</v>
      </c>
      <c r="AN58" s="5" t="str">
        <f t="shared" si="29"/>
        <v/>
      </c>
    </row>
    <row r="59" spans="1:40" x14ac:dyDescent="0.25">
      <c r="A59" s="3" t="s">
        <v>68</v>
      </c>
      <c r="B59" s="6">
        <f>2960.12</f>
        <v>2960.12</v>
      </c>
      <c r="C59" s="6">
        <f>2500</f>
        <v>2500</v>
      </c>
      <c r="D59" s="5">
        <f t="shared" si="15"/>
        <v>1.184048</v>
      </c>
      <c r="E59" s="6">
        <f>-300</f>
        <v>-300</v>
      </c>
      <c r="F59" s="6">
        <f>2500</f>
        <v>2500</v>
      </c>
      <c r="G59" s="5">
        <f t="shared" si="16"/>
        <v>-0.12</v>
      </c>
      <c r="H59" s="6">
        <f>5620.24</f>
        <v>5620.24</v>
      </c>
      <c r="I59" s="6">
        <f>2500</f>
        <v>2500</v>
      </c>
      <c r="J59" s="5">
        <f t="shared" si="17"/>
        <v>2.2480959999999999</v>
      </c>
      <c r="K59" s="6">
        <f>2660.12</f>
        <v>2660.12</v>
      </c>
      <c r="L59" s="6">
        <f>2500</f>
        <v>2500</v>
      </c>
      <c r="M59" s="5">
        <f t="shared" si="18"/>
        <v>1.0640479999999999</v>
      </c>
      <c r="N59" s="4"/>
      <c r="O59" s="6">
        <f>2500</f>
        <v>2500</v>
      </c>
      <c r="P59" s="5">
        <f t="shared" si="19"/>
        <v>0</v>
      </c>
      <c r="Q59" s="4"/>
      <c r="R59" s="6">
        <f>2500</f>
        <v>2500</v>
      </c>
      <c r="S59" s="5">
        <f t="shared" si="20"/>
        <v>0</v>
      </c>
      <c r="T59" s="4"/>
      <c r="U59" s="6">
        <f>2500</f>
        <v>2500</v>
      </c>
      <c r="V59" s="5">
        <f t="shared" si="21"/>
        <v>0</v>
      </c>
      <c r="W59" s="4"/>
      <c r="X59" s="6">
        <f>2500</f>
        <v>2500</v>
      </c>
      <c r="Y59" s="5">
        <f t="shared" si="22"/>
        <v>0</v>
      </c>
      <c r="Z59" s="4"/>
      <c r="AA59" s="6">
        <f>2500</f>
        <v>2500</v>
      </c>
      <c r="AB59" s="5">
        <f t="shared" si="23"/>
        <v>0</v>
      </c>
      <c r="AC59" s="4"/>
      <c r="AD59" s="6">
        <f>2500</f>
        <v>2500</v>
      </c>
      <c r="AE59" s="5">
        <f t="shared" si="24"/>
        <v>0</v>
      </c>
      <c r="AF59" s="4"/>
      <c r="AG59" s="6">
        <f>2500</f>
        <v>2500</v>
      </c>
      <c r="AH59" s="5">
        <f t="shared" si="25"/>
        <v>0</v>
      </c>
      <c r="AI59" s="4"/>
      <c r="AJ59" s="6">
        <f>2500</f>
        <v>2500</v>
      </c>
      <c r="AK59" s="5">
        <f t="shared" si="26"/>
        <v>0</v>
      </c>
      <c r="AL59" s="6">
        <f t="shared" si="27"/>
        <v>10940.48</v>
      </c>
      <c r="AM59" s="6">
        <f t="shared" si="28"/>
        <v>30000</v>
      </c>
      <c r="AN59" s="5">
        <f t="shared" si="29"/>
        <v>0.36468266666666665</v>
      </c>
    </row>
    <row r="60" spans="1:40" x14ac:dyDescent="0.25">
      <c r="A60" s="3" t="s">
        <v>69</v>
      </c>
      <c r="B60" s="6">
        <f>1087.52</f>
        <v>1087.52</v>
      </c>
      <c r="C60" s="6">
        <f>1100</f>
        <v>1100</v>
      </c>
      <c r="D60" s="5">
        <f t="shared" si="15"/>
        <v>0.98865454545454545</v>
      </c>
      <c r="E60" s="6">
        <f>1087.52</f>
        <v>1087.52</v>
      </c>
      <c r="F60" s="6">
        <f>1100</f>
        <v>1100</v>
      </c>
      <c r="G60" s="5">
        <f t="shared" si="16"/>
        <v>0.98865454545454545</v>
      </c>
      <c r="H60" s="6">
        <f>1117.52</f>
        <v>1117.52</v>
      </c>
      <c r="I60" s="6">
        <f>1100</f>
        <v>1100</v>
      </c>
      <c r="J60" s="5">
        <f t="shared" si="17"/>
        <v>1.0159272727272728</v>
      </c>
      <c r="K60" s="6">
        <f>1087.52</f>
        <v>1087.52</v>
      </c>
      <c r="L60" s="6">
        <f>1100</f>
        <v>1100</v>
      </c>
      <c r="M60" s="5">
        <f t="shared" si="18"/>
        <v>0.98865454545454545</v>
      </c>
      <c r="N60" s="4"/>
      <c r="O60" s="6">
        <f>1100</f>
        <v>1100</v>
      </c>
      <c r="P60" s="5">
        <f t="shared" si="19"/>
        <v>0</v>
      </c>
      <c r="Q60" s="4"/>
      <c r="R60" s="6">
        <f>1100</f>
        <v>1100</v>
      </c>
      <c r="S60" s="5">
        <f t="shared" si="20"/>
        <v>0</v>
      </c>
      <c r="T60" s="4"/>
      <c r="U60" s="6">
        <f>1100</f>
        <v>1100</v>
      </c>
      <c r="V60" s="5">
        <f t="shared" si="21"/>
        <v>0</v>
      </c>
      <c r="W60" s="4"/>
      <c r="X60" s="6">
        <f>1100</f>
        <v>1100</v>
      </c>
      <c r="Y60" s="5">
        <f t="shared" si="22"/>
        <v>0</v>
      </c>
      <c r="Z60" s="4"/>
      <c r="AA60" s="6">
        <f>1100</f>
        <v>1100</v>
      </c>
      <c r="AB60" s="5">
        <f t="shared" si="23"/>
        <v>0</v>
      </c>
      <c r="AC60" s="4"/>
      <c r="AD60" s="6">
        <f>1100</f>
        <v>1100</v>
      </c>
      <c r="AE60" s="5">
        <f t="shared" si="24"/>
        <v>0</v>
      </c>
      <c r="AF60" s="4"/>
      <c r="AG60" s="6">
        <f>1100</f>
        <v>1100</v>
      </c>
      <c r="AH60" s="5">
        <f t="shared" si="25"/>
        <v>0</v>
      </c>
      <c r="AI60" s="4"/>
      <c r="AJ60" s="6">
        <f>1100</f>
        <v>1100</v>
      </c>
      <c r="AK60" s="5">
        <f t="shared" si="26"/>
        <v>0</v>
      </c>
      <c r="AL60" s="6">
        <f t="shared" si="27"/>
        <v>4380.08</v>
      </c>
      <c r="AM60" s="6">
        <f t="shared" si="28"/>
        <v>13200</v>
      </c>
      <c r="AN60" s="5">
        <f t="shared" si="29"/>
        <v>0.33182424242424241</v>
      </c>
    </row>
    <row r="61" spans="1:40" x14ac:dyDescent="0.25">
      <c r="A61" s="3" t="s">
        <v>70</v>
      </c>
      <c r="B61" s="7">
        <f>((B58)+(B59))+(B60)</f>
        <v>4047.64</v>
      </c>
      <c r="C61" s="7">
        <f>((C58)+(C59))+(C60)</f>
        <v>3600</v>
      </c>
      <c r="D61" s="8">
        <f t="shared" si="15"/>
        <v>1.1243444444444444</v>
      </c>
      <c r="E61" s="7">
        <f>((E58)+(E59))+(E60)</f>
        <v>787.52</v>
      </c>
      <c r="F61" s="7">
        <f>((F58)+(F59))+(F60)</f>
        <v>3600</v>
      </c>
      <c r="G61" s="8">
        <f t="shared" si="16"/>
        <v>0.21875555555555556</v>
      </c>
      <c r="H61" s="7">
        <f>((H58)+(H59))+(H60)</f>
        <v>6737.76</v>
      </c>
      <c r="I61" s="7">
        <f>((I58)+(I59))+(I60)</f>
        <v>3600</v>
      </c>
      <c r="J61" s="8">
        <f t="shared" si="17"/>
        <v>1.8716000000000002</v>
      </c>
      <c r="K61" s="7">
        <f>((K58)+(K59))+(K60)</f>
        <v>3747.64</v>
      </c>
      <c r="L61" s="7">
        <f>((L58)+(L59))+(L60)</f>
        <v>3600</v>
      </c>
      <c r="M61" s="8">
        <f t="shared" si="18"/>
        <v>1.0410111111111111</v>
      </c>
      <c r="N61" s="7">
        <f>((N58)+(N59))+(N60)</f>
        <v>0</v>
      </c>
      <c r="O61" s="7">
        <f>((O58)+(O59))+(O60)</f>
        <v>3600</v>
      </c>
      <c r="P61" s="8">
        <f t="shared" si="19"/>
        <v>0</v>
      </c>
      <c r="Q61" s="7">
        <f>((Q58)+(Q59))+(Q60)</f>
        <v>0</v>
      </c>
      <c r="R61" s="7">
        <f>((R58)+(R59))+(R60)</f>
        <v>3600</v>
      </c>
      <c r="S61" s="8">
        <f t="shared" si="20"/>
        <v>0</v>
      </c>
      <c r="T61" s="7">
        <f>((T58)+(T59))+(T60)</f>
        <v>0</v>
      </c>
      <c r="U61" s="7">
        <f>((U58)+(U59))+(U60)</f>
        <v>3600</v>
      </c>
      <c r="V61" s="8">
        <f t="shared" si="21"/>
        <v>0</v>
      </c>
      <c r="W61" s="7">
        <f>((W58)+(W59))+(W60)</f>
        <v>0</v>
      </c>
      <c r="X61" s="7">
        <f>((X58)+(X59))+(X60)</f>
        <v>3600</v>
      </c>
      <c r="Y61" s="8">
        <f t="shared" si="22"/>
        <v>0</v>
      </c>
      <c r="Z61" s="7">
        <f>((Z58)+(Z59))+(Z60)</f>
        <v>0</v>
      </c>
      <c r="AA61" s="7">
        <f>((AA58)+(AA59))+(AA60)</f>
        <v>3600</v>
      </c>
      <c r="AB61" s="8">
        <f t="shared" si="23"/>
        <v>0</v>
      </c>
      <c r="AC61" s="7">
        <f>((AC58)+(AC59))+(AC60)</f>
        <v>0</v>
      </c>
      <c r="AD61" s="7">
        <f>((AD58)+(AD59))+(AD60)</f>
        <v>3600</v>
      </c>
      <c r="AE61" s="8">
        <f t="shared" si="24"/>
        <v>0</v>
      </c>
      <c r="AF61" s="7">
        <f>((AF58)+(AF59))+(AF60)</f>
        <v>0</v>
      </c>
      <c r="AG61" s="7">
        <f>((AG58)+(AG59))+(AG60)</f>
        <v>3600</v>
      </c>
      <c r="AH61" s="8">
        <f t="shared" si="25"/>
        <v>0</v>
      </c>
      <c r="AI61" s="7">
        <f>((AI58)+(AI59))+(AI60)</f>
        <v>0</v>
      </c>
      <c r="AJ61" s="7">
        <f>((AJ58)+(AJ59))+(AJ60)</f>
        <v>3600</v>
      </c>
      <c r="AK61" s="8">
        <f t="shared" si="26"/>
        <v>0</v>
      </c>
      <c r="AL61" s="7">
        <f t="shared" si="27"/>
        <v>15320.56</v>
      </c>
      <c r="AM61" s="7">
        <f t="shared" si="28"/>
        <v>43200</v>
      </c>
      <c r="AN61" s="8">
        <f t="shared" si="29"/>
        <v>0.35464259259259256</v>
      </c>
    </row>
    <row r="62" spans="1:40" x14ac:dyDescent="0.25">
      <c r="A62" s="3" t="s">
        <v>71</v>
      </c>
      <c r="B62" s="4"/>
      <c r="C62" s="4"/>
      <c r="D62" s="5" t="str">
        <f t="shared" si="15"/>
        <v/>
      </c>
      <c r="E62" s="4"/>
      <c r="F62" s="4"/>
      <c r="G62" s="5" t="str">
        <f t="shared" si="16"/>
        <v/>
      </c>
      <c r="H62" s="4"/>
      <c r="I62" s="4"/>
      <c r="J62" s="5" t="str">
        <f t="shared" si="17"/>
        <v/>
      </c>
      <c r="K62" s="4"/>
      <c r="L62" s="4"/>
      <c r="M62" s="5" t="str">
        <f t="shared" si="18"/>
        <v/>
      </c>
      <c r="N62" s="4"/>
      <c r="O62" s="4"/>
      <c r="P62" s="5" t="str">
        <f t="shared" si="19"/>
        <v/>
      </c>
      <c r="Q62" s="4"/>
      <c r="R62" s="4"/>
      <c r="S62" s="5" t="str">
        <f t="shared" si="20"/>
        <v/>
      </c>
      <c r="T62" s="4"/>
      <c r="U62" s="4"/>
      <c r="V62" s="5" t="str">
        <f t="shared" si="21"/>
        <v/>
      </c>
      <c r="W62" s="4"/>
      <c r="X62" s="4"/>
      <c r="Y62" s="5" t="str">
        <f t="shared" si="22"/>
        <v/>
      </c>
      <c r="Z62" s="4"/>
      <c r="AA62" s="4"/>
      <c r="AB62" s="5" t="str">
        <f t="shared" si="23"/>
        <v/>
      </c>
      <c r="AC62" s="4"/>
      <c r="AD62" s="4"/>
      <c r="AE62" s="5" t="str">
        <f t="shared" si="24"/>
        <v/>
      </c>
      <c r="AF62" s="4"/>
      <c r="AG62" s="4"/>
      <c r="AH62" s="5" t="str">
        <f t="shared" si="25"/>
        <v/>
      </c>
      <c r="AI62" s="4"/>
      <c r="AJ62" s="4"/>
      <c r="AK62" s="5" t="str">
        <f t="shared" si="26"/>
        <v/>
      </c>
      <c r="AL62" s="6">
        <f t="shared" si="27"/>
        <v>0</v>
      </c>
      <c r="AM62" s="6">
        <f t="shared" si="28"/>
        <v>0</v>
      </c>
      <c r="AN62" s="5" t="str">
        <f t="shared" si="29"/>
        <v/>
      </c>
    </row>
    <row r="63" spans="1:40" x14ac:dyDescent="0.25">
      <c r="A63" s="3" t="s">
        <v>72</v>
      </c>
      <c r="B63" s="4"/>
      <c r="C63" s="6">
        <f>916.67</f>
        <v>916.67</v>
      </c>
      <c r="D63" s="5">
        <f t="shared" si="15"/>
        <v>0</v>
      </c>
      <c r="E63" s="6">
        <f>5503.91</f>
        <v>5503.91</v>
      </c>
      <c r="F63" s="6">
        <f>916.67</f>
        <v>916.67</v>
      </c>
      <c r="G63" s="5">
        <f t="shared" si="16"/>
        <v>6.0042436209322876</v>
      </c>
      <c r="H63" s="4"/>
      <c r="I63" s="6">
        <f>916.67</f>
        <v>916.67</v>
      </c>
      <c r="J63" s="5">
        <f t="shared" si="17"/>
        <v>0</v>
      </c>
      <c r="K63" s="4"/>
      <c r="L63" s="6">
        <f>916.67</f>
        <v>916.67</v>
      </c>
      <c r="M63" s="5">
        <f t="shared" si="18"/>
        <v>0</v>
      </c>
      <c r="N63" s="4"/>
      <c r="O63" s="6">
        <f>916.67</f>
        <v>916.67</v>
      </c>
      <c r="P63" s="5">
        <f t="shared" si="19"/>
        <v>0</v>
      </c>
      <c r="Q63" s="4"/>
      <c r="R63" s="6">
        <f>916.67</f>
        <v>916.67</v>
      </c>
      <c r="S63" s="5">
        <f t="shared" si="20"/>
        <v>0</v>
      </c>
      <c r="T63" s="4"/>
      <c r="U63" s="6">
        <f>916.67</f>
        <v>916.67</v>
      </c>
      <c r="V63" s="5">
        <f t="shared" si="21"/>
        <v>0</v>
      </c>
      <c r="W63" s="4"/>
      <c r="X63" s="6">
        <f>916.67</f>
        <v>916.67</v>
      </c>
      <c r="Y63" s="5">
        <f t="shared" si="22"/>
        <v>0</v>
      </c>
      <c r="Z63" s="4"/>
      <c r="AA63" s="6">
        <f>916.67</f>
        <v>916.67</v>
      </c>
      <c r="AB63" s="5">
        <f t="shared" si="23"/>
        <v>0</v>
      </c>
      <c r="AC63" s="4"/>
      <c r="AD63" s="6">
        <f>916.67</f>
        <v>916.67</v>
      </c>
      <c r="AE63" s="5">
        <f t="shared" si="24"/>
        <v>0</v>
      </c>
      <c r="AF63" s="4"/>
      <c r="AG63" s="6">
        <f>916.67</f>
        <v>916.67</v>
      </c>
      <c r="AH63" s="5">
        <f t="shared" si="25"/>
        <v>0</v>
      </c>
      <c r="AI63" s="4"/>
      <c r="AJ63" s="6">
        <f>916.63</f>
        <v>916.63</v>
      </c>
      <c r="AK63" s="5">
        <f t="shared" si="26"/>
        <v>0</v>
      </c>
      <c r="AL63" s="6">
        <f t="shared" si="27"/>
        <v>5503.91</v>
      </c>
      <c r="AM63" s="6">
        <f t="shared" si="28"/>
        <v>10999.999999999998</v>
      </c>
      <c r="AN63" s="5">
        <f t="shared" si="29"/>
        <v>0.5003554545454546</v>
      </c>
    </row>
    <row r="64" spans="1:40" x14ac:dyDescent="0.25">
      <c r="A64" s="3" t="s">
        <v>73</v>
      </c>
      <c r="B64" s="6">
        <f>500</f>
        <v>500</v>
      </c>
      <c r="C64" s="6">
        <f>500</f>
        <v>500</v>
      </c>
      <c r="D64" s="5">
        <f t="shared" si="15"/>
        <v>1</v>
      </c>
      <c r="E64" s="6">
        <f>500</f>
        <v>500</v>
      </c>
      <c r="F64" s="6">
        <f>500</f>
        <v>500</v>
      </c>
      <c r="G64" s="5">
        <f t="shared" si="16"/>
        <v>1</v>
      </c>
      <c r="H64" s="6">
        <f>500</f>
        <v>500</v>
      </c>
      <c r="I64" s="6">
        <f>500</f>
        <v>500</v>
      </c>
      <c r="J64" s="5">
        <f t="shared" si="17"/>
        <v>1</v>
      </c>
      <c r="K64" s="6">
        <f>500</f>
        <v>500</v>
      </c>
      <c r="L64" s="6">
        <f>500</f>
        <v>500</v>
      </c>
      <c r="M64" s="5">
        <f t="shared" si="18"/>
        <v>1</v>
      </c>
      <c r="N64" s="4"/>
      <c r="O64" s="6">
        <f>500</f>
        <v>500</v>
      </c>
      <c r="P64" s="5">
        <f t="shared" si="19"/>
        <v>0</v>
      </c>
      <c r="Q64" s="4"/>
      <c r="R64" s="6">
        <f>500</f>
        <v>500</v>
      </c>
      <c r="S64" s="5">
        <f t="shared" si="20"/>
        <v>0</v>
      </c>
      <c r="T64" s="4"/>
      <c r="U64" s="6">
        <f>500</f>
        <v>500</v>
      </c>
      <c r="V64" s="5">
        <f t="shared" si="21"/>
        <v>0</v>
      </c>
      <c r="W64" s="4"/>
      <c r="X64" s="6">
        <f>500</f>
        <v>500</v>
      </c>
      <c r="Y64" s="5">
        <f t="shared" si="22"/>
        <v>0</v>
      </c>
      <c r="Z64" s="4"/>
      <c r="AA64" s="6">
        <f>500</f>
        <v>500</v>
      </c>
      <c r="AB64" s="5">
        <f t="shared" si="23"/>
        <v>0</v>
      </c>
      <c r="AC64" s="4"/>
      <c r="AD64" s="6">
        <f>500</f>
        <v>500</v>
      </c>
      <c r="AE64" s="5">
        <f t="shared" si="24"/>
        <v>0</v>
      </c>
      <c r="AF64" s="4"/>
      <c r="AG64" s="6">
        <f>500</f>
        <v>500</v>
      </c>
      <c r="AH64" s="5">
        <f t="shared" si="25"/>
        <v>0</v>
      </c>
      <c r="AI64" s="4"/>
      <c r="AJ64" s="6">
        <f>500</f>
        <v>500</v>
      </c>
      <c r="AK64" s="5">
        <f t="shared" si="26"/>
        <v>0</v>
      </c>
      <c r="AL64" s="6">
        <f t="shared" si="27"/>
        <v>2000</v>
      </c>
      <c r="AM64" s="6">
        <f t="shared" si="28"/>
        <v>6000</v>
      </c>
      <c r="AN64" s="5">
        <f t="shared" si="29"/>
        <v>0.33333333333333331</v>
      </c>
    </row>
    <row r="65" spans="1:40" x14ac:dyDescent="0.25">
      <c r="A65" s="3" t="s">
        <v>74</v>
      </c>
      <c r="B65" s="6">
        <f>270.86</f>
        <v>270.86</v>
      </c>
      <c r="C65" s="6">
        <f>333.33</f>
        <v>333.33</v>
      </c>
      <c r="D65" s="5">
        <f t="shared" si="15"/>
        <v>0.81258812588125884</v>
      </c>
      <c r="E65" s="6">
        <f>218.58</f>
        <v>218.58</v>
      </c>
      <c r="F65" s="6">
        <f>333.33</f>
        <v>333.33</v>
      </c>
      <c r="G65" s="5">
        <f t="shared" si="16"/>
        <v>0.65574655746557475</v>
      </c>
      <c r="H65" s="6">
        <f>349.66</f>
        <v>349.66</v>
      </c>
      <c r="I65" s="6">
        <f>333.33</f>
        <v>333.33</v>
      </c>
      <c r="J65" s="5">
        <f t="shared" si="17"/>
        <v>1.0489904899048992</v>
      </c>
      <c r="K65" s="6">
        <f>522.12</f>
        <v>522.12</v>
      </c>
      <c r="L65" s="6">
        <f>333.33</f>
        <v>333.33</v>
      </c>
      <c r="M65" s="5">
        <f t="shared" si="18"/>
        <v>1.5663756637566377</v>
      </c>
      <c r="N65" s="4"/>
      <c r="O65" s="6">
        <f>333.33</f>
        <v>333.33</v>
      </c>
      <c r="P65" s="5">
        <f t="shared" si="19"/>
        <v>0</v>
      </c>
      <c r="Q65" s="4"/>
      <c r="R65" s="6">
        <f>333.33</f>
        <v>333.33</v>
      </c>
      <c r="S65" s="5">
        <f t="shared" si="20"/>
        <v>0</v>
      </c>
      <c r="T65" s="4"/>
      <c r="U65" s="6">
        <f>333.33</f>
        <v>333.33</v>
      </c>
      <c r="V65" s="5">
        <f t="shared" si="21"/>
        <v>0</v>
      </c>
      <c r="W65" s="4"/>
      <c r="X65" s="6">
        <f>333.33</f>
        <v>333.33</v>
      </c>
      <c r="Y65" s="5">
        <f t="shared" si="22"/>
        <v>0</v>
      </c>
      <c r="Z65" s="4"/>
      <c r="AA65" s="6">
        <f>333.33</f>
        <v>333.33</v>
      </c>
      <c r="AB65" s="5">
        <f t="shared" si="23"/>
        <v>0</v>
      </c>
      <c r="AC65" s="4"/>
      <c r="AD65" s="6">
        <f>333.33</f>
        <v>333.33</v>
      </c>
      <c r="AE65" s="5">
        <f t="shared" si="24"/>
        <v>0</v>
      </c>
      <c r="AF65" s="4"/>
      <c r="AG65" s="6">
        <f>333.33</f>
        <v>333.33</v>
      </c>
      <c r="AH65" s="5">
        <f t="shared" si="25"/>
        <v>0</v>
      </c>
      <c r="AI65" s="4"/>
      <c r="AJ65" s="6">
        <f>333.37</f>
        <v>333.37</v>
      </c>
      <c r="AK65" s="5">
        <f t="shared" si="26"/>
        <v>0</v>
      </c>
      <c r="AL65" s="6">
        <f t="shared" si="27"/>
        <v>1361.2200000000003</v>
      </c>
      <c r="AM65" s="6">
        <f t="shared" si="28"/>
        <v>3999.9999999999995</v>
      </c>
      <c r="AN65" s="5">
        <f t="shared" si="29"/>
        <v>0.34030500000000008</v>
      </c>
    </row>
    <row r="66" spans="1:40" x14ac:dyDescent="0.25">
      <c r="A66" s="3" t="s">
        <v>75</v>
      </c>
      <c r="B66" s="6">
        <f>131</f>
        <v>131</v>
      </c>
      <c r="C66" s="6">
        <f>45.83</f>
        <v>45.83</v>
      </c>
      <c r="D66" s="5">
        <f t="shared" si="15"/>
        <v>2.8583897010691688</v>
      </c>
      <c r="E66" s="4"/>
      <c r="F66" s="6">
        <f>45.83</f>
        <v>45.83</v>
      </c>
      <c r="G66" s="5">
        <f t="shared" si="16"/>
        <v>0</v>
      </c>
      <c r="H66" s="4"/>
      <c r="I66" s="6">
        <f>45.83</f>
        <v>45.83</v>
      </c>
      <c r="J66" s="5">
        <f t="shared" si="17"/>
        <v>0</v>
      </c>
      <c r="K66" s="6">
        <f>131</f>
        <v>131</v>
      </c>
      <c r="L66" s="6">
        <f>45.83</f>
        <v>45.83</v>
      </c>
      <c r="M66" s="5">
        <f t="shared" si="18"/>
        <v>2.8583897010691688</v>
      </c>
      <c r="N66" s="4"/>
      <c r="O66" s="6">
        <f>45.83</f>
        <v>45.83</v>
      </c>
      <c r="P66" s="5">
        <f t="shared" si="19"/>
        <v>0</v>
      </c>
      <c r="Q66" s="4"/>
      <c r="R66" s="6">
        <f>45.83</f>
        <v>45.83</v>
      </c>
      <c r="S66" s="5">
        <f t="shared" si="20"/>
        <v>0</v>
      </c>
      <c r="T66" s="4"/>
      <c r="U66" s="6">
        <f>45.83</f>
        <v>45.83</v>
      </c>
      <c r="V66" s="5">
        <f t="shared" si="21"/>
        <v>0</v>
      </c>
      <c r="W66" s="4"/>
      <c r="X66" s="6">
        <f>45.83</f>
        <v>45.83</v>
      </c>
      <c r="Y66" s="5">
        <f t="shared" si="22"/>
        <v>0</v>
      </c>
      <c r="Z66" s="4"/>
      <c r="AA66" s="6">
        <f>45.83</f>
        <v>45.83</v>
      </c>
      <c r="AB66" s="5">
        <f t="shared" si="23"/>
        <v>0</v>
      </c>
      <c r="AC66" s="4"/>
      <c r="AD66" s="6">
        <f>45.83</f>
        <v>45.83</v>
      </c>
      <c r="AE66" s="5">
        <f t="shared" si="24"/>
        <v>0</v>
      </c>
      <c r="AF66" s="4"/>
      <c r="AG66" s="6">
        <f>45.83</f>
        <v>45.83</v>
      </c>
      <c r="AH66" s="5">
        <f t="shared" si="25"/>
        <v>0</v>
      </c>
      <c r="AI66" s="4"/>
      <c r="AJ66" s="6">
        <f>45.87</f>
        <v>45.87</v>
      </c>
      <c r="AK66" s="5">
        <f t="shared" si="26"/>
        <v>0</v>
      </c>
      <c r="AL66" s="6">
        <f t="shared" si="27"/>
        <v>262</v>
      </c>
      <c r="AM66" s="6">
        <f t="shared" si="28"/>
        <v>549.99999999999989</v>
      </c>
      <c r="AN66" s="5">
        <f t="shared" si="29"/>
        <v>0.47636363636363649</v>
      </c>
    </row>
    <row r="67" spans="1:40" x14ac:dyDescent="0.25">
      <c r="A67" s="3" t="s">
        <v>76</v>
      </c>
      <c r="B67" s="6">
        <f>990</f>
        <v>990</v>
      </c>
      <c r="C67" s="6">
        <f>1000</f>
        <v>1000</v>
      </c>
      <c r="D67" s="5">
        <f t="shared" si="15"/>
        <v>0.99</v>
      </c>
      <c r="E67" s="6">
        <f>990</f>
        <v>990</v>
      </c>
      <c r="F67" s="6">
        <f>1000</f>
        <v>1000</v>
      </c>
      <c r="G67" s="5">
        <f t="shared" si="16"/>
        <v>0.99</v>
      </c>
      <c r="H67" s="6">
        <f>990</f>
        <v>990</v>
      </c>
      <c r="I67" s="6">
        <f>1000</f>
        <v>1000</v>
      </c>
      <c r="J67" s="5">
        <f t="shared" si="17"/>
        <v>0.99</v>
      </c>
      <c r="K67" s="6">
        <f>1040</f>
        <v>1040</v>
      </c>
      <c r="L67" s="6">
        <f>1000</f>
        <v>1000</v>
      </c>
      <c r="M67" s="5">
        <f t="shared" si="18"/>
        <v>1.04</v>
      </c>
      <c r="N67" s="4"/>
      <c r="O67" s="6">
        <f>1000</f>
        <v>1000</v>
      </c>
      <c r="P67" s="5">
        <f t="shared" si="19"/>
        <v>0</v>
      </c>
      <c r="Q67" s="4"/>
      <c r="R67" s="6">
        <f>1000</f>
        <v>1000</v>
      </c>
      <c r="S67" s="5">
        <f t="shared" si="20"/>
        <v>0</v>
      </c>
      <c r="T67" s="4"/>
      <c r="U67" s="6">
        <f>1000</f>
        <v>1000</v>
      </c>
      <c r="V67" s="5">
        <f t="shared" si="21"/>
        <v>0</v>
      </c>
      <c r="W67" s="4"/>
      <c r="X67" s="6">
        <f>1000</f>
        <v>1000</v>
      </c>
      <c r="Y67" s="5">
        <f t="shared" si="22"/>
        <v>0</v>
      </c>
      <c r="Z67" s="4"/>
      <c r="AA67" s="6">
        <f>1000</f>
        <v>1000</v>
      </c>
      <c r="AB67" s="5">
        <f t="shared" si="23"/>
        <v>0</v>
      </c>
      <c r="AC67" s="4"/>
      <c r="AD67" s="6">
        <f>1000</f>
        <v>1000</v>
      </c>
      <c r="AE67" s="5">
        <f t="shared" si="24"/>
        <v>0</v>
      </c>
      <c r="AF67" s="4"/>
      <c r="AG67" s="6">
        <f>1000</f>
        <v>1000</v>
      </c>
      <c r="AH67" s="5">
        <f t="shared" si="25"/>
        <v>0</v>
      </c>
      <c r="AI67" s="4"/>
      <c r="AJ67" s="6">
        <f>1000</f>
        <v>1000</v>
      </c>
      <c r="AK67" s="5">
        <f t="shared" si="26"/>
        <v>0</v>
      </c>
      <c r="AL67" s="6">
        <f t="shared" si="27"/>
        <v>4010</v>
      </c>
      <c r="AM67" s="6">
        <f t="shared" si="28"/>
        <v>12000</v>
      </c>
      <c r="AN67" s="5">
        <f t="shared" si="29"/>
        <v>0.33416666666666667</v>
      </c>
    </row>
    <row r="68" spans="1:40" x14ac:dyDescent="0.25">
      <c r="A68" s="3" t="s">
        <v>77</v>
      </c>
      <c r="B68" s="4"/>
      <c r="C68" s="6">
        <f>0</f>
        <v>0</v>
      </c>
      <c r="D68" s="5" t="str">
        <f t="shared" si="15"/>
        <v/>
      </c>
      <c r="E68" s="4"/>
      <c r="F68" s="6">
        <f>0</f>
        <v>0</v>
      </c>
      <c r="G68" s="5" t="str">
        <f t="shared" si="16"/>
        <v/>
      </c>
      <c r="H68" s="4"/>
      <c r="I68" s="6">
        <f>0</f>
        <v>0</v>
      </c>
      <c r="J68" s="5" t="str">
        <f t="shared" si="17"/>
        <v/>
      </c>
      <c r="K68" s="4"/>
      <c r="L68" s="6">
        <f>0</f>
        <v>0</v>
      </c>
      <c r="M68" s="5" t="str">
        <f t="shared" si="18"/>
        <v/>
      </c>
      <c r="N68" s="4"/>
      <c r="O68" s="6">
        <f>0</f>
        <v>0</v>
      </c>
      <c r="P68" s="5" t="str">
        <f t="shared" si="19"/>
        <v/>
      </c>
      <c r="Q68" s="4"/>
      <c r="R68" s="6">
        <f>0</f>
        <v>0</v>
      </c>
      <c r="S68" s="5" t="str">
        <f t="shared" si="20"/>
        <v/>
      </c>
      <c r="T68" s="4"/>
      <c r="U68" s="6">
        <f>0</f>
        <v>0</v>
      </c>
      <c r="V68" s="5" t="str">
        <f t="shared" si="21"/>
        <v/>
      </c>
      <c r="W68" s="4"/>
      <c r="X68" s="6">
        <f>0</f>
        <v>0</v>
      </c>
      <c r="Y68" s="5" t="str">
        <f t="shared" si="22"/>
        <v/>
      </c>
      <c r="Z68" s="4"/>
      <c r="AA68" s="6">
        <f>0</f>
        <v>0</v>
      </c>
      <c r="AB68" s="5" t="str">
        <f t="shared" si="23"/>
        <v/>
      </c>
      <c r="AC68" s="4"/>
      <c r="AD68" s="6">
        <f>0</f>
        <v>0</v>
      </c>
      <c r="AE68" s="5" t="str">
        <f t="shared" si="24"/>
        <v/>
      </c>
      <c r="AF68" s="4"/>
      <c r="AG68" s="6">
        <f>0</f>
        <v>0</v>
      </c>
      <c r="AH68" s="5" t="str">
        <f t="shared" si="25"/>
        <v/>
      </c>
      <c r="AI68" s="4"/>
      <c r="AJ68" s="6">
        <f>0</f>
        <v>0</v>
      </c>
      <c r="AK68" s="5" t="str">
        <f t="shared" si="26"/>
        <v/>
      </c>
      <c r="AL68" s="6">
        <f t="shared" si="27"/>
        <v>0</v>
      </c>
      <c r="AM68" s="6">
        <f t="shared" si="28"/>
        <v>0</v>
      </c>
      <c r="AN68" s="5" t="str">
        <f t="shared" si="29"/>
        <v/>
      </c>
    </row>
    <row r="69" spans="1:40" x14ac:dyDescent="0.25">
      <c r="A69" s="3" t="s">
        <v>78</v>
      </c>
      <c r="B69" s="6">
        <f>85</f>
        <v>85</v>
      </c>
      <c r="C69" s="6">
        <f>29.17</f>
        <v>29.17</v>
      </c>
      <c r="D69" s="5">
        <f t="shared" si="15"/>
        <v>2.9139526911210147</v>
      </c>
      <c r="E69" s="4"/>
      <c r="F69" s="6">
        <f>29.17</f>
        <v>29.17</v>
      </c>
      <c r="G69" s="5">
        <f t="shared" si="16"/>
        <v>0</v>
      </c>
      <c r="H69" s="4"/>
      <c r="I69" s="6">
        <f>29.17</f>
        <v>29.17</v>
      </c>
      <c r="J69" s="5">
        <f t="shared" si="17"/>
        <v>0</v>
      </c>
      <c r="K69" s="4"/>
      <c r="L69" s="6">
        <f>29.17</f>
        <v>29.17</v>
      </c>
      <c r="M69" s="5">
        <f t="shared" si="18"/>
        <v>0</v>
      </c>
      <c r="N69" s="4"/>
      <c r="O69" s="6">
        <f>29.17</f>
        <v>29.17</v>
      </c>
      <c r="P69" s="5">
        <f t="shared" si="19"/>
        <v>0</v>
      </c>
      <c r="Q69" s="4"/>
      <c r="R69" s="6">
        <f>29.17</f>
        <v>29.17</v>
      </c>
      <c r="S69" s="5">
        <f t="shared" si="20"/>
        <v>0</v>
      </c>
      <c r="T69" s="4"/>
      <c r="U69" s="6">
        <f>29.17</f>
        <v>29.17</v>
      </c>
      <c r="V69" s="5">
        <f t="shared" si="21"/>
        <v>0</v>
      </c>
      <c r="W69" s="4"/>
      <c r="X69" s="6">
        <f>29.17</f>
        <v>29.17</v>
      </c>
      <c r="Y69" s="5">
        <f t="shared" si="22"/>
        <v>0</v>
      </c>
      <c r="Z69" s="4"/>
      <c r="AA69" s="6">
        <f>29.17</f>
        <v>29.17</v>
      </c>
      <c r="AB69" s="5">
        <f t="shared" si="23"/>
        <v>0</v>
      </c>
      <c r="AC69" s="4"/>
      <c r="AD69" s="6">
        <f>29.17</f>
        <v>29.17</v>
      </c>
      <c r="AE69" s="5">
        <f t="shared" si="24"/>
        <v>0</v>
      </c>
      <c r="AF69" s="4"/>
      <c r="AG69" s="6">
        <f>29.17</f>
        <v>29.17</v>
      </c>
      <c r="AH69" s="5">
        <f t="shared" si="25"/>
        <v>0</v>
      </c>
      <c r="AI69" s="4"/>
      <c r="AJ69" s="6">
        <f>29.13</f>
        <v>29.13</v>
      </c>
      <c r="AK69" s="5">
        <f t="shared" si="26"/>
        <v>0</v>
      </c>
      <c r="AL69" s="6">
        <f t="shared" si="27"/>
        <v>85</v>
      </c>
      <c r="AM69" s="6">
        <f t="shared" si="28"/>
        <v>350.00000000000011</v>
      </c>
      <c r="AN69" s="5">
        <f t="shared" si="29"/>
        <v>0.24285714285714277</v>
      </c>
    </row>
    <row r="70" spans="1:40" x14ac:dyDescent="0.25">
      <c r="A70" s="3" t="s">
        <v>79</v>
      </c>
      <c r="B70" s="4"/>
      <c r="C70" s="6">
        <f>66.67</f>
        <v>66.67</v>
      </c>
      <c r="D70" s="5">
        <f t="shared" si="15"/>
        <v>0</v>
      </c>
      <c r="E70" s="6">
        <f>58.29</f>
        <v>58.29</v>
      </c>
      <c r="F70" s="6">
        <f>66.67</f>
        <v>66.67</v>
      </c>
      <c r="G70" s="5">
        <f t="shared" si="16"/>
        <v>0.87430628468576566</v>
      </c>
      <c r="H70" s="4"/>
      <c r="I70" s="6">
        <f>66.67</f>
        <v>66.67</v>
      </c>
      <c r="J70" s="5">
        <f t="shared" si="17"/>
        <v>0</v>
      </c>
      <c r="K70" s="4"/>
      <c r="L70" s="6">
        <f>66.67</f>
        <v>66.67</v>
      </c>
      <c r="M70" s="5">
        <f t="shared" si="18"/>
        <v>0</v>
      </c>
      <c r="N70" s="4"/>
      <c r="O70" s="6">
        <f>66.67</f>
        <v>66.67</v>
      </c>
      <c r="P70" s="5">
        <f t="shared" si="19"/>
        <v>0</v>
      </c>
      <c r="Q70" s="4"/>
      <c r="R70" s="6">
        <f>66.67</f>
        <v>66.67</v>
      </c>
      <c r="S70" s="5">
        <f t="shared" si="20"/>
        <v>0</v>
      </c>
      <c r="T70" s="4"/>
      <c r="U70" s="6">
        <f>66.67</f>
        <v>66.67</v>
      </c>
      <c r="V70" s="5">
        <f t="shared" si="21"/>
        <v>0</v>
      </c>
      <c r="W70" s="4"/>
      <c r="X70" s="6">
        <f>66.67</f>
        <v>66.67</v>
      </c>
      <c r="Y70" s="5">
        <f t="shared" si="22"/>
        <v>0</v>
      </c>
      <c r="Z70" s="4"/>
      <c r="AA70" s="6">
        <f>66.67</f>
        <v>66.67</v>
      </c>
      <c r="AB70" s="5">
        <f t="shared" si="23"/>
        <v>0</v>
      </c>
      <c r="AC70" s="4"/>
      <c r="AD70" s="6">
        <f>66.67</f>
        <v>66.67</v>
      </c>
      <c r="AE70" s="5">
        <f t="shared" si="24"/>
        <v>0</v>
      </c>
      <c r="AF70" s="4"/>
      <c r="AG70" s="6">
        <f>66.67</f>
        <v>66.67</v>
      </c>
      <c r="AH70" s="5">
        <f t="shared" si="25"/>
        <v>0</v>
      </c>
      <c r="AI70" s="4"/>
      <c r="AJ70" s="6">
        <f>66.63</f>
        <v>66.63</v>
      </c>
      <c r="AK70" s="5">
        <f t="shared" si="26"/>
        <v>0</v>
      </c>
      <c r="AL70" s="6">
        <f t="shared" si="27"/>
        <v>58.29</v>
      </c>
      <c r="AM70" s="6">
        <f t="shared" si="28"/>
        <v>799.99999999999989</v>
      </c>
      <c r="AN70" s="5">
        <f t="shared" si="29"/>
        <v>7.2862500000000011E-2</v>
      </c>
    </row>
    <row r="71" spans="1:40" x14ac:dyDescent="0.25">
      <c r="A71" s="3" t="s">
        <v>80</v>
      </c>
      <c r="B71" s="4"/>
      <c r="C71" s="6">
        <f>0</f>
        <v>0</v>
      </c>
      <c r="D71" s="5" t="str">
        <f t="shared" ref="D71:D102" si="30">IF(C71=0,"",(B71)/(C71))</f>
        <v/>
      </c>
      <c r="E71" s="4"/>
      <c r="F71" s="6">
        <f>0</f>
        <v>0</v>
      </c>
      <c r="G71" s="5" t="str">
        <f t="shared" ref="G71:G102" si="31">IF(F71=0,"",(E71)/(F71))</f>
        <v/>
      </c>
      <c r="H71" s="4"/>
      <c r="I71" s="6">
        <f>0</f>
        <v>0</v>
      </c>
      <c r="J71" s="5" t="str">
        <f t="shared" ref="J71:J102" si="32">IF(I71=0,"",(H71)/(I71))</f>
        <v/>
      </c>
      <c r="K71" s="4"/>
      <c r="L71" s="6">
        <f>0</f>
        <v>0</v>
      </c>
      <c r="M71" s="5" t="str">
        <f t="shared" ref="M71:M102" si="33">IF(L71=0,"",(K71)/(L71))</f>
        <v/>
      </c>
      <c r="N71" s="4"/>
      <c r="O71" s="6">
        <f>0</f>
        <v>0</v>
      </c>
      <c r="P71" s="5" t="str">
        <f t="shared" ref="P71:P102" si="34">IF(O71=0,"",(N71)/(O71))</f>
        <v/>
      </c>
      <c r="Q71" s="4"/>
      <c r="R71" s="6">
        <f>0</f>
        <v>0</v>
      </c>
      <c r="S71" s="5" t="str">
        <f t="shared" ref="S71:S102" si="35">IF(R71=0,"",(Q71)/(R71))</f>
        <v/>
      </c>
      <c r="T71" s="4"/>
      <c r="U71" s="6">
        <f>0</f>
        <v>0</v>
      </c>
      <c r="V71" s="5" t="str">
        <f t="shared" ref="V71:V102" si="36">IF(U71=0,"",(T71)/(U71))</f>
        <v/>
      </c>
      <c r="W71" s="4"/>
      <c r="X71" s="6">
        <f>0</f>
        <v>0</v>
      </c>
      <c r="Y71" s="5" t="str">
        <f t="shared" ref="Y71:Y102" si="37">IF(X71=0,"",(W71)/(X71))</f>
        <v/>
      </c>
      <c r="Z71" s="4"/>
      <c r="AA71" s="6">
        <f>0</f>
        <v>0</v>
      </c>
      <c r="AB71" s="5" t="str">
        <f t="shared" ref="AB71:AB102" si="38">IF(AA71=0,"",(Z71)/(AA71))</f>
        <v/>
      </c>
      <c r="AC71" s="4"/>
      <c r="AD71" s="6">
        <f>0</f>
        <v>0</v>
      </c>
      <c r="AE71" s="5" t="str">
        <f t="shared" ref="AE71:AE102" si="39">IF(AD71=0,"",(AC71)/(AD71))</f>
        <v/>
      </c>
      <c r="AF71" s="4"/>
      <c r="AG71" s="6">
        <f>0</f>
        <v>0</v>
      </c>
      <c r="AH71" s="5" t="str">
        <f t="shared" ref="AH71:AH102" si="40">IF(AG71=0,"",(AF71)/(AG71))</f>
        <v/>
      </c>
      <c r="AI71" s="4"/>
      <c r="AJ71" s="6">
        <f>0</f>
        <v>0</v>
      </c>
      <c r="AK71" s="5" t="str">
        <f t="shared" ref="AK71:AK102" si="41">IF(AJ71=0,"",(AI71)/(AJ71))</f>
        <v/>
      </c>
      <c r="AL71" s="6">
        <f t="shared" ref="AL71:AL102" si="42">(((((((((((B71)+(E71))+(H71))+(K71))+(N71))+(Q71))+(T71))+(W71))+(Z71))+(AC71))+(AF71))+(AI71)</f>
        <v>0</v>
      </c>
      <c r="AM71" s="6">
        <f t="shared" ref="AM71:AM102" si="43">(((((((((((C71)+(F71))+(I71))+(L71))+(O71))+(R71))+(U71))+(X71))+(AA71))+(AD71))+(AG71))+(AJ71)</f>
        <v>0</v>
      </c>
      <c r="AN71" s="5" t="str">
        <f t="shared" ref="AN71:AN102" si="44">IF(AM71=0,"",(AL71)/(AM71))</f>
        <v/>
      </c>
    </row>
    <row r="72" spans="1:40" x14ac:dyDescent="0.25">
      <c r="A72" s="3" t="s">
        <v>81</v>
      </c>
      <c r="B72" s="7">
        <f>(((((((((B62)+(B63))+(B64))+(B65))+(B66))+(B67))+(B68))+(B69))+(B70))+(B71)</f>
        <v>1976.8600000000001</v>
      </c>
      <c r="C72" s="7">
        <f>(((((((((C62)+(C63))+(C64))+(C65))+(C66))+(C67))+(C68))+(C69))+(C70))+(C71)</f>
        <v>2891.67</v>
      </c>
      <c r="D72" s="8">
        <f t="shared" si="30"/>
        <v>0.6836395577641986</v>
      </c>
      <c r="E72" s="7">
        <f>(((((((((E62)+(E63))+(E64))+(E65))+(E66))+(E67))+(E68))+(E69))+(E70))+(E71)</f>
        <v>7270.78</v>
      </c>
      <c r="F72" s="7">
        <f>(((((((((F62)+(F63))+(F64))+(F65))+(F66))+(F67))+(F68))+(F69))+(F70))+(F71)</f>
        <v>2891.67</v>
      </c>
      <c r="G72" s="8">
        <f t="shared" si="31"/>
        <v>2.51438787966815</v>
      </c>
      <c r="H72" s="7">
        <f>(((((((((H62)+(H63))+(H64))+(H65))+(H66))+(H67))+(H68))+(H69))+(H70))+(H71)</f>
        <v>1839.66</v>
      </c>
      <c r="I72" s="7">
        <f>(((((((((I62)+(I63))+(I64))+(I65))+(I66))+(I67))+(I68))+(I69))+(I70))+(I71)</f>
        <v>2891.67</v>
      </c>
      <c r="J72" s="8">
        <f t="shared" si="32"/>
        <v>0.63619292657875903</v>
      </c>
      <c r="K72" s="7">
        <f>(((((((((K62)+(K63))+(K64))+(K65))+(K66))+(K67))+(K68))+(K69))+(K70))+(K71)</f>
        <v>2193.12</v>
      </c>
      <c r="L72" s="7">
        <f>(((((((((L62)+(L63))+(L64))+(L65))+(L66))+(L67))+(L68))+(L69))+(L70))+(L71)</f>
        <v>2891.67</v>
      </c>
      <c r="M72" s="8">
        <f t="shared" si="33"/>
        <v>0.75842679143885705</v>
      </c>
      <c r="N72" s="7">
        <f>(((((((((N62)+(N63))+(N64))+(N65))+(N66))+(N67))+(N68))+(N69))+(N70))+(N71)</f>
        <v>0</v>
      </c>
      <c r="O72" s="7">
        <f>(((((((((O62)+(O63))+(O64))+(O65))+(O66))+(O67))+(O68))+(O69))+(O70))+(O71)</f>
        <v>2891.67</v>
      </c>
      <c r="P72" s="8">
        <f t="shared" si="34"/>
        <v>0</v>
      </c>
      <c r="Q72" s="7">
        <f>(((((((((Q62)+(Q63))+(Q64))+(Q65))+(Q66))+(Q67))+(Q68))+(Q69))+(Q70))+(Q71)</f>
        <v>0</v>
      </c>
      <c r="R72" s="7">
        <f>(((((((((R62)+(R63))+(R64))+(R65))+(R66))+(R67))+(R68))+(R69))+(R70))+(R71)</f>
        <v>2891.67</v>
      </c>
      <c r="S72" s="8">
        <f t="shared" si="35"/>
        <v>0</v>
      </c>
      <c r="T72" s="7">
        <f>(((((((((T62)+(T63))+(T64))+(T65))+(T66))+(T67))+(T68))+(T69))+(T70))+(T71)</f>
        <v>0</v>
      </c>
      <c r="U72" s="7">
        <f>(((((((((U62)+(U63))+(U64))+(U65))+(U66))+(U67))+(U68))+(U69))+(U70))+(U71)</f>
        <v>2891.67</v>
      </c>
      <c r="V72" s="8">
        <f t="shared" si="36"/>
        <v>0</v>
      </c>
      <c r="W72" s="7">
        <f>(((((((((W62)+(W63))+(W64))+(W65))+(W66))+(W67))+(W68))+(W69))+(W70))+(W71)</f>
        <v>0</v>
      </c>
      <c r="X72" s="7">
        <f>(((((((((X62)+(X63))+(X64))+(X65))+(X66))+(X67))+(X68))+(X69))+(X70))+(X71)</f>
        <v>2891.67</v>
      </c>
      <c r="Y72" s="8">
        <f t="shared" si="37"/>
        <v>0</v>
      </c>
      <c r="Z72" s="7">
        <f>(((((((((Z62)+(Z63))+(Z64))+(Z65))+(Z66))+(Z67))+(Z68))+(Z69))+(Z70))+(Z71)</f>
        <v>0</v>
      </c>
      <c r="AA72" s="7">
        <f>(((((((((AA62)+(AA63))+(AA64))+(AA65))+(AA66))+(AA67))+(AA68))+(AA69))+(AA70))+(AA71)</f>
        <v>2891.67</v>
      </c>
      <c r="AB72" s="8">
        <f t="shared" si="38"/>
        <v>0</v>
      </c>
      <c r="AC72" s="7">
        <f>(((((((((AC62)+(AC63))+(AC64))+(AC65))+(AC66))+(AC67))+(AC68))+(AC69))+(AC70))+(AC71)</f>
        <v>0</v>
      </c>
      <c r="AD72" s="7">
        <f>(((((((((AD62)+(AD63))+(AD64))+(AD65))+(AD66))+(AD67))+(AD68))+(AD69))+(AD70))+(AD71)</f>
        <v>2891.67</v>
      </c>
      <c r="AE72" s="8">
        <f t="shared" si="39"/>
        <v>0</v>
      </c>
      <c r="AF72" s="7">
        <f>(((((((((AF62)+(AF63))+(AF64))+(AF65))+(AF66))+(AF67))+(AF68))+(AF69))+(AF70))+(AF71)</f>
        <v>0</v>
      </c>
      <c r="AG72" s="7">
        <f>(((((((((AG62)+(AG63))+(AG64))+(AG65))+(AG66))+(AG67))+(AG68))+(AG69))+(AG70))+(AG71)</f>
        <v>2891.67</v>
      </c>
      <c r="AH72" s="8">
        <f t="shared" si="40"/>
        <v>0</v>
      </c>
      <c r="AI72" s="7">
        <f>(((((((((AI62)+(AI63))+(AI64))+(AI65))+(AI66))+(AI67))+(AI68))+(AI69))+(AI70))+(AI71)</f>
        <v>0</v>
      </c>
      <c r="AJ72" s="7">
        <f>(((((((((AJ62)+(AJ63))+(AJ64))+(AJ65))+(AJ66))+(AJ67))+(AJ68))+(AJ69))+(AJ70))+(AJ71)</f>
        <v>2891.63</v>
      </c>
      <c r="AK72" s="8">
        <f t="shared" si="41"/>
        <v>0</v>
      </c>
      <c r="AL72" s="7">
        <f t="shared" si="42"/>
        <v>13280.419999999998</v>
      </c>
      <c r="AM72" s="7">
        <f t="shared" si="43"/>
        <v>34699.999999999993</v>
      </c>
      <c r="AN72" s="8">
        <f t="shared" si="44"/>
        <v>0.38272103746397695</v>
      </c>
    </row>
    <row r="73" spans="1:40" x14ac:dyDescent="0.25">
      <c r="A73" s="3" t="s">
        <v>82</v>
      </c>
      <c r="B73" s="6">
        <f>32.55</f>
        <v>32.549999999999997</v>
      </c>
      <c r="C73" s="6">
        <f>116.67</f>
        <v>116.67</v>
      </c>
      <c r="D73" s="5">
        <f t="shared" si="30"/>
        <v>0.27899202879917712</v>
      </c>
      <c r="E73" s="6">
        <f>60.53</f>
        <v>60.53</v>
      </c>
      <c r="F73" s="6">
        <f>116.67</f>
        <v>116.67</v>
      </c>
      <c r="G73" s="5">
        <f t="shared" si="31"/>
        <v>0.51881374817862347</v>
      </c>
      <c r="H73" s="6">
        <f>57.22</f>
        <v>57.22</v>
      </c>
      <c r="I73" s="6">
        <f>116.67</f>
        <v>116.67</v>
      </c>
      <c r="J73" s="5">
        <f t="shared" si="32"/>
        <v>0.49044313019628011</v>
      </c>
      <c r="K73" s="6">
        <f>27.34</f>
        <v>27.34</v>
      </c>
      <c r="L73" s="6">
        <f>116.67</f>
        <v>116.67</v>
      </c>
      <c r="M73" s="5">
        <f t="shared" si="33"/>
        <v>0.23433616182394787</v>
      </c>
      <c r="N73" s="4"/>
      <c r="O73" s="6">
        <f>116.67</f>
        <v>116.67</v>
      </c>
      <c r="P73" s="5">
        <f t="shared" si="34"/>
        <v>0</v>
      </c>
      <c r="Q73" s="4"/>
      <c r="R73" s="6">
        <f>116.67</f>
        <v>116.67</v>
      </c>
      <c r="S73" s="5">
        <f t="shared" si="35"/>
        <v>0</v>
      </c>
      <c r="T73" s="4"/>
      <c r="U73" s="6">
        <f>116.67</f>
        <v>116.67</v>
      </c>
      <c r="V73" s="5">
        <f t="shared" si="36"/>
        <v>0</v>
      </c>
      <c r="W73" s="4"/>
      <c r="X73" s="6">
        <f>116.67</f>
        <v>116.67</v>
      </c>
      <c r="Y73" s="5">
        <f t="shared" si="37"/>
        <v>0</v>
      </c>
      <c r="Z73" s="4"/>
      <c r="AA73" s="6">
        <f>116.67</f>
        <v>116.67</v>
      </c>
      <c r="AB73" s="5">
        <f t="shared" si="38"/>
        <v>0</v>
      </c>
      <c r="AC73" s="4"/>
      <c r="AD73" s="6">
        <f>116.67</f>
        <v>116.67</v>
      </c>
      <c r="AE73" s="5">
        <f t="shared" si="39"/>
        <v>0</v>
      </c>
      <c r="AF73" s="4"/>
      <c r="AG73" s="6">
        <f>116.67</f>
        <v>116.67</v>
      </c>
      <c r="AH73" s="5">
        <f t="shared" si="40"/>
        <v>0</v>
      </c>
      <c r="AI73" s="4"/>
      <c r="AJ73" s="6">
        <f>116.63</f>
        <v>116.63</v>
      </c>
      <c r="AK73" s="5">
        <f t="shared" si="41"/>
        <v>0</v>
      </c>
      <c r="AL73" s="6">
        <f t="shared" si="42"/>
        <v>177.64000000000001</v>
      </c>
      <c r="AM73" s="6">
        <f t="shared" si="43"/>
        <v>1400</v>
      </c>
      <c r="AN73" s="5">
        <f t="shared" si="44"/>
        <v>0.1268857142857143</v>
      </c>
    </row>
    <row r="74" spans="1:40" x14ac:dyDescent="0.25">
      <c r="A74" s="3" t="s">
        <v>83</v>
      </c>
      <c r="B74" s="4"/>
      <c r="C74" s="6">
        <f>83.33</f>
        <v>83.33</v>
      </c>
      <c r="D74" s="5">
        <f t="shared" si="30"/>
        <v>0</v>
      </c>
      <c r="E74" s="6">
        <f>317.99</f>
        <v>317.99</v>
      </c>
      <c r="F74" s="6">
        <f>83.33</f>
        <v>83.33</v>
      </c>
      <c r="G74" s="5">
        <f t="shared" si="31"/>
        <v>3.8160326413056525</v>
      </c>
      <c r="H74" s="4"/>
      <c r="I74" s="6">
        <f>83.33</f>
        <v>83.33</v>
      </c>
      <c r="J74" s="5">
        <f t="shared" si="32"/>
        <v>0</v>
      </c>
      <c r="K74" s="4"/>
      <c r="L74" s="6">
        <f>83.33</f>
        <v>83.33</v>
      </c>
      <c r="M74" s="5">
        <f t="shared" si="33"/>
        <v>0</v>
      </c>
      <c r="N74" s="4"/>
      <c r="O74" s="6">
        <f>83.33</f>
        <v>83.33</v>
      </c>
      <c r="P74" s="5">
        <f t="shared" si="34"/>
        <v>0</v>
      </c>
      <c r="Q74" s="4"/>
      <c r="R74" s="6">
        <f>83.33</f>
        <v>83.33</v>
      </c>
      <c r="S74" s="5">
        <f t="shared" si="35"/>
        <v>0</v>
      </c>
      <c r="T74" s="4"/>
      <c r="U74" s="6">
        <f>83.33</f>
        <v>83.33</v>
      </c>
      <c r="V74" s="5">
        <f t="shared" si="36"/>
        <v>0</v>
      </c>
      <c r="W74" s="4"/>
      <c r="X74" s="6">
        <f>83.33</f>
        <v>83.33</v>
      </c>
      <c r="Y74" s="5">
        <f t="shared" si="37"/>
        <v>0</v>
      </c>
      <c r="Z74" s="4"/>
      <c r="AA74" s="6">
        <f>83.33</f>
        <v>83.33</v>
      </c>
      <c r="AB74" s="5">
        <f t="shared" si="38"/>
        <v>0</v>
      </c>
      <c r="AC74" s="4"/>
      <c r="AD74" s="6">
        <f>83.33</f>
        <v>83.33</v>
      </c>
      <c r="AE74" s="5">
        <f t="shared" si="39"/>
        <v>0</v>
      </c>
      <c r="AF74" s="4"/>
      <c r="AG74" s="6">
        <f>83.33</f>
        <v>83.33</v>
      </c>
      <c r="AH74" s="5">
        <f t="shared" si="40"/>
        <v>0</v>
      </c>
      <c r="AI74" s="4"/>
      <c r="AJ74" s="6">
        <f>83.37</f>
        <v>83.37</v>
      </c>
      <c r="AK74" s="5">
        <f t="shared" si="41"/>
        <v>0</v>
      </c>
      <c r="AL74" s="6">
        <f t="shared" si="42"/>
        <v>317.99</v>
      </c>
      <c r="AM74" s="6">
        <f t="shared" si="43"/>
        <v>1000.0000000000001</v>
      </c>
      <c r="AN74" s="5">
        <f t="shared" si="44"/>
        <v>0.31798999999999999</v>
      </c>
    </row>
    <row r="75" spans="1:40" x14ac:dyDescent="0.25">
      <c r="A75" s="3" t="s">
        <v>84</v>
      </c>
      <c r="B75" s="6">
        <f>779.79</f>
        <v>779.79</v>
      </c>
      <c r="C75" s="6">
        <f>783.33</f>
        <v>783.33</v>
      </c>
      <c r="D75" s="5">
        <f t="shared" si="30"/>
        <v>0.99548083183332681</v>
      </c>
      <c r="E75" s="6">
        <f>779.79</f>
        <v>779.79</v>
      </c>
      <c r="F75" s="6">
        <f>783.33</f>
        <v>783.33</v>
      </c>
      <c r="G75" s="5">
        <f t="shared" si="31"/>
        <v>0.99548083183332681</v>
      </c>
      <c r="H75" s="6">
        <f>779.79</f>
        <v>779.79</v>
      </c>
      <c r="I75" s="6">
        <f>783.33</f>
        <v>783.33</v>
      </c>
      <c r="J75" s="5">
        <f t="shared" si="32"/>
        <v>0.99548083183332681</v>
      </c>
      <c r="K75" s="6">
        <f>779.79</f>
        <v>779.79</v>
      </c>
      <c r="L75" s="6">
        <f>783.33</f>
        <v>783.33</v>
      </c>
      <c r="M75" s="5">
        <f t="shared" si="33"/>
        <v>0.99548083183332681</v>
      </c>
      <c r="N75" s="6"/>
      <c r="O75" s="6">
        <f>783.33</f>
        <v>783.33</v>
      </c>
      <c r="P75" s="5">
        <f t="shared" si="34"/>
        <v>0</v>
      </c>
      <c r="Q75" s="4"/>
      <c r="R75" s="6">
        <f>783.33</f>
        <v>783.33</v>
      </c>
      <c r="S75" s="5">
        <f t="shared" si="35"/>
        <v>0</v>
      </c>
      <c r="T75" s="4"/>
      <c r="U75" s="6">
        <f>783.33</f>
        <v>783.33</v>
      </c>
      <c r="V75" s="5">
        <f t="shared" si="36"/>
        <v>0</v>
      </c>
      <c r="W75" s="4"/>
      <c r="X75" s="6">
        <f>783.33</f>
        <v>783.33</v>
      </c>
      <c r="Y75" s="5">
        <f t="shared" si="37"/>
        <v>0</v>
      </c>
      <c r="Z75" s="4"/>
      <c r="AA75" s="6">
        <f>783.33</f>
        <v>783.33</v>
      </c>
      <c r="AB75" s="5">
        <f t="shared" si="38"/>
        <v>0</v>
      </c>
      <c r="AC75" s="4"/>
      <c r="AD75" s="6">
        <f>783.33</f>
        <v>783.33</v>
      </c>
      <c r="AE75" s="5">
        <f t="shared" si="39"/>
        <v>0</v>
      </c>
      <c r="AF75" s="4"/>
      <c r="AG75" s="6">
        <f>783.33</f>
        <v>783.33</v>
      </c>
      <c r="AH75" s="5">
        <f t="shared" si="40"/>
        <v>0</v>
      </c>
      <c r="AI75" s="4"/>
      <c r="AJ75" s="6">
        <f>783.37</f>
        <v>783.37</v>
      </c>
      <c r="AK75" s="5">
        <f t="shared" si="41"/>
        <v>0</v>
      </c>
      <c r="AL75" s="6">
        <f t="shared" si="42"/>
        <v>3119.16</v>
      </c>
      <c r="AM75" s="6">
        <f t="shared" si="43"/>
        <v>9400.0000000000018</v>
      </c>
      <c r="AN75" s="5">
        <f t="shared" si="44"/>
        <v>0.33182553191489356</v>
      </c>
    </row>
    <row r="76" spans="1:40" x14ac:dyDescent="0.25">
      <c r="A76" s="3" t="s">
        <v>85</v>
      </c>
      <c r="B76" s="4"/>
      <c r="C76" s="4"/>
      <c r="D76" s="5" t="str">
        <f t="shared" si="30"/>
        <v/>
      </c>
      <c r="E76" s="4"/>
      <c r="F76" s="4"/>
      <c r="G76" s="5" t="str">
        <f t="shared" si="31"/>
        <v/>
      </c>
      <c r="H76" s="4"/>
      <c r="I76" s="4"/>
      <c r="J76" s="5" t="str">
        <f t="shared" si="32"/>
        <v/>
      </c>
      <c r="K76" s="4"/>
      <c r="L76" s="4"/>
      <c r="M76" s="5" t="str">
        <f t="shared" si="33"/>
        <v/>
      </c>
      <c r="N76" s="4"/>
      <c r="O76" s="4"/>
      <c r="P76" s="5" t="str">
        <f t="shared" si="34"/>
        <v/>
      </c>
      <c r="Q76" s="4"/>
      <c r="R76" s="4"/>
      <c r="S76" s="5" t="str">
        <f t="shared" si="35"/>
        <v/>
      </c>
      <c r="T76" s="4"/>
      <c r="U76" s="4"/>
      <c r="V76" s="5" t="str">
        <f t="shared" si="36"/>
        <v/>
      </c>
      <c r="W76" s="4"/>
      <c r="X76" s="4"/>
      <c r="Y76" s="5" t="str">
        <f t="shared" si="37"/>
        <v/>
      </c>
      <c r="Z76" s="4"/>
      <c r="AA76" s="4"/>
      <c r="AB76" s="5" t="str">
        <f t="shared" si="38"/>
        <v/>
      </c>
      <c r="AC76" s="4"/>
      <c r="AD76" s="4"/>
      <c r="AE76" s="5" t="str">
        <f t="shared" si="39"/>
        <v/>
      </c>
      <c r="AF76" s="4"/>
      <c r="AG76" s="4"/>
      <c r="AH76" s="5" t="str">
        <f t="shared" si="40"/>
        <v/>
      </c>
      <c r="AI76" s="4"/>
      <c r="AJ76" s="4"/>
      <c r="AK76" s="5" t="str">
        <f t="shared" si="41"/>
        <v/>
      </c>
      <c r="AL76" s="6">
        <f t="shared" si="42"/>
        <v>0</v>
      </c>
      <c r="AM76" s="6">
        <f t="shared" si="43"/>
        <v>0</v>
      </c>
      <c r="AN76" s="5" t="str">
        <f t="shared" si="44"/>
        <v/>
      </c>
    </row>
    <row r="77" spans="1:40" x14ac:dyDescent="0.25">
      <c r="A77" s="3" t="s">
        <v>86</v>
      </c>
      <c r="B77" s="6">
        <f>232.14</f>
        <v>232.14</v>
      </c>
      <c r="C77" s="6">
        <f>333.33</f>
        <v>333.33</v>
      </c>
      <c r="D77" s="5">
        <f t="shared" si="30"/>
        <v>0.69642696426964268</v>
      </c>
      <c r="E77" s="6">
        <f>232.14</f>
        <v>232.14</v>
      </c>
      <c r="F77" s="6">
        <f>333.33</f>
        <v>333.33</v>
      </c>
      <c r="G77" s="5">
        <f t="shared" si="31"/>
        <v>0.69642696426964268</v>
      </c>
      <c r="H77" s="6">
        <f>232.14</f>
        <v>232.14</v>
      </c>
      <c r="I77" s="6">
        <f>333.33</f>
        <v>333.33</v>
      </c>
      <c r="J77" s="5">
        <f t="shared" si="32"/>
        <v>0.69642696426964268</v>
      </c>
      <c r="K77" s="6">
        <f>232.14</f>
        <v>232.14</v>
      </c>
      <c r="L77" s="6">
        <f>333.33</f>
        <v>333.33</v>
      </c>
      <c r="M77" s="5">
        <f t="shared" si="33"/>
        <v>0.69642696426964268</v>
      </c>
      <c r="N77" s="4"/>
      <c r="O77" s="6">
        <f>333.33</f>
        <v>333.33</v>
      </c>
      <c r="P77" s="5">
        <f t="shared" si="34"/>
        <v>0</v>
      </c>
      <c r="Q77" s="4"/>
      <c r="R77" s="6">
        <f>333.33</f>
        <v>333.33</v>
      </c>
      <c r="S77" s="5">
        <f t="shared" si="35"/>
        <v>0</v>
      </c>
      <c r="T77" s="4"/>
      <c r="U77" s="6">
        <f>333.33</f>
        <v>333.33</v>
      </c>
      <c r="V77" s="5">
        <f t="shared" si="36"/>
        <v>0</v>
      </c>
      <c r="W77" s="4"/>
      <c r="X77" s="6">
        <f>333.33</f>
        <v>333.33</v>
      </c>
      <c r="Y77" s="5">
        <f t="shared" si="37"/>
        <v>0</v>
      </c>
      <c r="Z77" s="4"/>
      <c r="AA77" s="6">
        <f>333.33</f>
        <v>333.33</v>
      </c>
      <c r="AB77" s="5">
        <f t="shared" si="38"/>
        <v>0</v>
      </c>
      <c r="AC77" s="4"/>
      <c r="AD77" s="6">
        <f>333.33</f>
        <v>333.33</v>
      </c>
      <c r="AE77" s="5">
        <f t="shared" si="39"/>
        <v>0</v>
      </c>
      <c r="AF77" s="4"/>
      <c r="AG77" s="6">
        <f>333.33</f>
        <v>333.33</v>
      </c>
      <c r="AH77" s="5">
        <f t="shared" si="40"/>
        <v>0</v>
      </c>
      <c r="AI77" s="4"/>
      <c r="AJ77" s="6">
        <f>333.37</f>
        <v>333.37</v>
      </c>
      <c r="AK77" s="5">
        <f t="shared" si="41"/>
        <v>0</v>
      </c>
      <c r="AL77" s="6">
        <f t="shared" si="42"/>
        <v>928.56</v>
      </c>
      <c r="AM77" s="6">
        <f t="shared" si="43"/>
        <v>3999.9999999999995</v>
      </c>
      <c r="AN77" s="5">
        <f t="shared" si="44"/>
        <v>0.23214000000000001</v>
      </c>
    </row>
    <row r="78" spans="1:40" x14ac:dyDescent="0.25">
      <c r="A78" s="3" t="s">
        <v>87</v>
      </c>
      <c r="B78" s="6">
        <f>500</f>
        <v>500</v>
      </c>
      <c r="C78" s="6">
        <f>183.33</f>
        <v>183.33</v>
      </c>
      <c r="D78" s="5">
        <f t="shared" si="30"/>
        <v>2.7273223149511807</v>
      </c>
      <c r="E78" s="4"/>
      <c r="F78" s="6">
        <f>183.33</f>
        <v>183.33</v>
      </c>
      <c r="G78" s="5">
        <f t="shared" si="31"/>
        <v>0</v>
      </c>
      <c r="H78" s="6">
        <f>1000</f>
        <v>1000</v>
      </c>
      <c r="I78" s="6">
        <f>183.33</f>
        <v>183.33</v>
      </c>
      <c r="J78" s="5">
        <f t="shared" si="32"/>
        <v>5.4546446299023614</v>
      </c>
      <c r="K78" s="4"/>
      <c r="L78" s="6">
        <f>183.33</f>
        <v>183.33</v>
      </c>
      <c r="M78" s="5">
        <f t="shared" si="33"/>
        <v>0</v>
      </c>
      <c r="N78" s="4"/>
      <c r="O78" s="6">
        <f>183.33</f>
        <v>183.33</v>
      </c>
      <c r="P78" s="5">
        <f t="shared" si="34"/>
        <v>0</v>
      </c>
      <c r="Q78" s="4"/>
      <c r="R78" s="6">
        <f>183.33</f>
        <v>183.33</v>
      </c>
      <c r="S78" s="5">
        <f t="shared" si="35"/>
        <v>0</v>
      </c>
      <c r="T78" s="4"/>
      <c r="U78" s="6">
        <f>183.33</f>
        <v>183.33</v>
      </c>
      <c r="V78" s="5">
        <f t="shared" si="36"/>
        <v>0</v>
      </c>
      <c r="W78" s="4"/>
      <c r="X78" s="6">
        <f>183.33</f>
        <v>183.33</v>
      </c>
      <c r="Y78" s="5">
        <f t="shared" si="37"/>
        <v>0</v>
      </c>
      <c r="Z78" s="4"/>
      <c r="AA78" s="6">
        <f>183.33</f>
        <v>183.33</v>
      </c>
      <c r="AB78" s="5">
        <f t="shared" si="38"/>
        <v>0</v>
      </c>
      <c r="AC78" s="4"/>
      <c r="AD78" s="6">
        <f>183.33</f>
        <v>183.33</v>
      </c>
      <c r="AE78" s="5">
        <f t="shared" si="39"/>
        <v>0</v>
      </c>
      <c r="AF78" s="4"/>
      <c r="AG78" s="6">
        <f>183.33</f>
        <v>183.33</v>
      </c>
      <c r="AH78" s="5">
        <f t="shared" si="40"/>
        <v>0</v>
      </c>
      <c r="AI78" s="4"/>
      <c r="AJ78" s="6">
        <f>183.37</f>
        <v>183.37</v>
      </c>
      <c r="AK78" s="5">
        <f t="shared" si="41"/>
        <v>0</v>
      </c>
      <c r="AL78" s="6">
        <f t="shared" si="42"/>
        <v>1500</v>
      </c>
      <c r="AM78" s="6">
        <f t="shared" si="43"/>
        <v>2199.9999999999995</v>
      </c>
      <c r="AN78" s="5">
        <f t="shared" si="44"/>
        <v>0.68181818181818199</v>
      </c>
    </row>
    <row r="79" spans="1:40" x14ac:dyDescent="0.25">
      <c r="A79" s="3" t="s">
        <v>88</v>
      </c>
      <c r="B79" s="4"/>
      <c r="C79" s="6">
        <f>316.67</f>
        <v>316.67</v>
      </c>
      <c r="D79" s="5">
        <f t="shared" si="30"/>
        <v>0</v>
      </c>
      <c r="E79" s="4"/>
      <c r="F79" s="6">
        <f>316.67</f>
        <v>316.67</v>
      </c>
      <c r="G79" s="5">
        <f t="shared" si="31"/>
        <v>0</v>
      </c>
      <c r="H79" s="6">
        <f>863.77</f>
        <v>863.77</v>
      </c>
      <c r="I79" s="6">
        <f>316.67</f>
        <v>316.67</v>
      </c>
      <c r="J79" s="5">
        <f t="shared" si="32"/>
        <v>2.7276660245681623</v>
      </c>
      <c r="K79" s="4"/>
      <c r="L79" s="6">
        <f>316.67</f>
        <v>316.67</v>
      </c>
      <c r="M79" s="5">
        <f t="shared" si="33"/>
        <v>0</v>
      </c>
      <c r="N79" s="4"/>
      <c r="O79" s="6">
        <f>316.67</f>
        <v>316.67</v>
      </c>
      <c r="P79" s="5">
        <f t="shared" si="34"/>
        <v>0</v>
      </c>
      <c r="Q79" s="4"/>
      <c r="R79" s="6">
        <f>316.67</f>
        <v>316.67</v>
      </c>
      <c r="S79" s="5">
        <f t="shared" si="35"/>
        <v>0</v>
      </c>
      <c r="T79" s="4"/>
      <c r="U79" s="6">
        <f>316.67</f>
        <v>316.67</v>
      </c>
      <c r="V79" s="5">
        <f t="shared" si="36"/>
        <v>0</v>
      </c>
      <c r="W79" s="4"/>
      <c r="X79" s="6">
        <f>316.67</f>
        <v>316.67</v>
      </c>
      <c r="Y79" s="5">
        <f t="shared" si="37"/>
        <v>0</v>
      </c>
      <c r="Z79" s="4"/>
      <c r="AA79" s="6">
        <f>316.67</f>
        <v>316.67</v>
      </c>
      <c r="AB79" s="5">
        <f t="shared" si="38"/>
        <v>0</v>
      </c>
      <c r="AC79" s="4"/>
      <c r="AD79" s="6">
        <f>316.67</f>
        <v>316.67</v>
      </c>
      <c r="AE79" s="5">
        <f t="shared" si="39"/>
        <v>0</v>
      </c>
      <c r="AF79" s="4"/>
      <c r="AG79" s="6">
        <f>316.67</f>
        <v>316.67</v>
      </c>
      <c r="AH79" s="5">
        <f t="shared" si="40"/>
        <v>0</v>
      </c>
      <c r="AI79" s="4"/>
      <c r="AJ79" s="6">
        <f>316.63</f>
        <v>316.63</v>
      </c>
      <c r="AK79" s="5">
        <f t="shared" si="41"/>
        <v>0</v>
      </c>
      <c r="AL79" s="6">
        <f t="shared" si="42"/>
        <v>863.77</v>
      </c>
      <c r="AM79" s="6">
        <f t="shared" si="43"/>
        <v>3800.0000000000005</v>
      </c>
      <c r="AN79" s="5">
        <f t="shared" si="44"/>
        <v>0.22730789473684207</v>
      </c>
    </row>
    <row r="80" spans="1:40" x14ac:dyDescent="0.25">
      <c r="A80" s="3" t="s">
        <v>89</v>
      </c>
      <c r="B80" s="7">
        <f>(((B76)+(B77))+(B78))+(B79)</f>
        <v>732.14</v>
      </c>
      <c r="C80" s="7">
        <f>(((C76)+(C77))+(C78))+(C79)</f>
        <v>833.32999999999993</v>
      </c>
      <c r="D80" s="8">
        <f t="shared" si="30"/>
        <v>0.87857151428605718</v>
      </c>
      <c r="E80" s="7">
        <f>(((E76)+(E77))+(E78))+(E79)</f>
        <v>232.14</v>
      </c>
      <c r="F80" s="7">
        <f>(((F76)+(F77))+(F78))+(F79)</f>
        <v>833.32999999999993</v>
      </c>
      <c r="G80" s="8">
        <f t="shared" si="31"/>
        <v>0.27856911427645714</v>
      </c>
      <c r="H80" s="7">
        <f>(((H76)+(H77))+(H78))+(H79)</f>
        <v>2095.91</v>
      </c>
      <c r="I80" s="7">
        <f>(((I76)+(I77))+(I78))+(I79)</f>
        <v>833.32999999999993</v>
      </c>
      <c r="J80" s="8">
        <f t="shared" si="32"/>
        <v>2.5151020604082417</v>
      </c>
      <c r="K80" s="7">
        <f>(((K76)+(K77))+(K78))+(K79)</f>
        <v>232.14</v>
      </c>
      <c r="L80" s="7">
        <f>(((L76)+(L77))+(L78))+(L79)</f>
        <v>833.32999999999993</v>
      </c>
      <c r="M80" s="8">
        <f t="shared" si="33"/>
        <v>0.27856911427645714</v>
      </c>
      <c r="N80" s="7">
        <f>(((N76)+(N77))+(N78))+(N79)</f>
        <v>0</v>
      </c>
      <c r="O80" s="7">
        <f>(((O76)+(O77))+(O78))+(O79)</f>
        <v>833.32999999999993</v>
      </c>
      <c r="P80" s="8">
        <f t="shared" si="34"/>
        <v>0</v>
      </c>
      <c r="Q80" s="7">
        <f>(((Q76)+(Q77))+(Q78))+(Q79)</f>
        <v>0</v>
      </c>
      <c r="R80" s="7">
        <f>(((R76)+(R77))+(R78))+(R79)</f>
        <v>833.32999999999993</v>
      </c>
      <c r="S80" s="8">
        <f t="shared" si="35"/>
        <v>0</v>
      </c>
      <c r="T80" s="7">
        <f>(((T76)+(T77))+(T78))+(T79)</f>
        <v>0</v>
      </c>
      <c r="U80" s="7">
        <f>(((U76)+(U77))+(U78))+(U79)</f>
        <v>833.32999999999993</v>
      </c>
      <c r="V80" s="8">
        <f t="shared" si="36"/>
        <v>0</v>
      </c>
      <c r="W80" s="7">
        <f>(((W76)+(W77))+(W78))+(W79)</f>
        <v>0</v>
      </c>
      <c r="X80" s="7">
        <f>(((X76)+(X77))+(X78))+(X79)</f>
        <v>833.32999999999993</v>
      </c>
      <c r="Y80" s="8">
        <f t="shared" si="37"/>
        <v>0</v>
      </c>
      <c r="Z80" s="7">
        <f>(((Z76)+(Z77))+(Z78))+(Z79)</f>
        <v>0</v>
      </c>
      <c r="AA80" s="7">
        <f>(((AA76)+(AA77))+(AA78))+(AA79)</f>
        <v>833.32999999999993</v>
      </c>
      <c r="AB80" s="8">
        <f t="shared" si="38"/>
        <v>0</v>
      </c>
      <c r="AC80" s="7">
        <f>(((AC76)+(AC77))+(AC78))+(AC79)</f>
        <v>0</v>
      </c>
      <c r="AD80" s="7">
        <f>(((AD76)+(AD77))+(AD78))+(AD79)</f>
        <v>833.32999999999993</v>
      </c>
      <c r="AE80" s="8">
        <f t="shared" si="39"/>
        <v>0</v>
      </c>
      <c r="AF80" s="7">
        <f>(((AF76)+(AF77))+(AF78))+(AF79)</f>
        <v>0</v>
      </c>
      <c r="AG80" s="7">
        <f>(((AG76)+(AG77))+(AG78))+(AG79)</f>
        <v>833.32999999999993</v>
      </c>
      <c r="AH80" s="8">
        <f t="shared" si="40"/>
        <v>0</v>
      </c>
      <c r="AI80" s="7">
        <f>(((AI76)+(AI77))+(AI78))+(AI79)</f>
        <v>0</v>
      </c>
      <c r="AJ80" s="7">
        <f>(((AJ76)+(AJ77))+(AJ78))+(AJ79)</f>
        <v>833.37</v>
      </c>
      <c r="AK80" s="8">
        <f t="shared" si="41"/>
        <v>0</v>
      </c>
      <c r="AL80" s="7">
        <f t="shared" si="42"/>
        <v>3292.3299999999995</v>
      </c>
      <c r="AM80" s="7">
        <f t="shared" si="43"/>
        <v>10000</v>
      </c>
      <c r="AN80" s="8">
        <f t="shared" si="44"/>
        <v>0.32923299999999994</v>
      </c>
    </row>
    <row r="81" spans="1:40" x14ac:dyDescent="0.25">
      <c r="A81" s="3" t="s">
        <v>90</v>
      </c>
      <c r="B81" s="4"/>
      <c r="C81" s="4"/>
      <c r="D81" s="5" t="str">
        <f t="shared" si="30"/>
        <v/>
      </c>
      <c r="E81" s="4"/>
      <c r="F81" s="4"/>
      <c r="G81" s="5" t="str">
        <f t="shared" si="31"/>
        <v/>
      </c>
      <c r="H81" s="4"/>
      <c r="I81" s="4"/>
      <c r="J81" s="5" t="str">
        <f t="shared" si="32"/>
        <v/>
      </c>
      <c r="K81" s="6">
        <f>360</f>
        <v>360</v>
      </c>
      <c r="L81" s="4"/>
      <c r="M81" s="5" t="str">
        <f t="shared" si="33"/>
        <v/>
      </c>
      <c r="N81" s="4"/>
      <c r="O81" s="4"/>
      <c r="P81" s="5" t="str">
        <f t="shared" si="34"/>
        <v/>
      </c>
      <c r="Q81" s="4"/>
      <c r="R81" s="4"/>
      <c r="S81" s="5" t="str">
        <f t="shared" si="35"/>
        <v/>
      </c>
      <c r="T81" s="4"/>
      <c r="U81" s="4"/>
      <c r="V81" s="5" t="str">
        <f t="shared" si="36"/>
        <v/>
      </c>
      <c r="W81" s="4"/>
      <c r="X81" s="4"/>
      <c r="Y81" s="5" t="str">
        <f t="shared" si="37"/>
        <v/>
      </c>
      <c r="Z81" s="4"/>
      <c r="AA81" s="4"/>
      <c r="AB81" s="5" t="str">
        <f t="shared" si="38"/>
        <v/>
      </c>
      <c r="AC81" s="4"/>
      <c r="AD81" s="4"/>
      <c r="AE81" s="5" t="str">
        <f t="shared" si="39"/>
        <v/>
      </c>
      <c r="AF81" s="4"/>
      <c r="AG81" s="4"/>
      <c r="AH81" s="5" t="str">
        <f t="shared" si="40"/>
        <v/>
      </c>
      <c r="AI81" s="4"/>
      <c r="AJ81" s="4"/>
      <c r="AK81" s="5" t="str">
        <f t="shared" si="41"/>
        <v/>
      </c>
      <c r="AL81" s="6">
        <f t="shared" si="42"/>
        <v>360</v>
      </c>
      <c r="AM81" s="6">
        <f t="shared" si="43"/>
        <v>0</v>
      </c>
      <c r="AN81" s="5" t="str">
        <f t="shared" si="44"/>
        <v/>
      </c>
    </row>
    <row r="82" spans="1:40" x14ac:dyDescent="0.25">
      <c r="A82" s="3" t="s">
        <v>91</v>
      </c>
      <c r="B82" s="6">
        <f>26.1</f>
        <v>26.1</v>
      </c>
      <c r="C82" s="6">
        <f>20.83</f>
        <v>20.83</v>
      </c>
      <c r="D82" s="5">
        <f t="shared" si="30"/>
        <v>1.2530004800768124</v>
      </c>
      <c r="E82" s="6">
        <f>30.18</f>
        <v>30.18</v>
      </c>
      <c r="F82" s="6">
        <f>20.83</f>
        <v>20.83</v>
      </c>
      <c r="G82" s="5">
        <f t="shared" si="31"/>
        <v>1.4488718194911188</v>
      </c>
      <c r="H82" s="6">
        <f>28.03</f>
        <v>28.03</v>
      </c>
      <c r="I82" s="6">
        <f>20.83</f>
        <v>20.83</v>
      </c>
      <c r="J82" s="5">
        <f t="shared" si="32"/>
        <v>1.345655304848776</v>
      </c>
      <c r="K82" s="6">
        <f>24.91</f>
        <v>24.91</v>
      </c>
      <c r="L82" s="6">
        <f>20.83</f>
        <v>20.83</v>
      </c>
      <c r="M82" s="5">
        <f t="shared" si="33"/>
        <v>1.1958713394143063</v>
      </c>
      <c r="N82" s="4"/>
      <c r="O82" s="6">
        <f>20.83</f>
        <v>20.83</v>
      </c>
      <c r="P82" s="5">
        <f t="shared" si="34"/>
        <v>0</v>
      </c>
      <c r="Q82" s="4"/>
      <c r="R82" s="6">
        <f>20.83</f>
        <v>20.83</v>
      </c>
      <c r="S82" s="5">
        <f t="shared" si="35"/>
        <v>0</v>
      </c>
      <c r="T82" s="4"/>
      <c r="U82" s="6">
        <f>20.83</f>
        <v>20.83</v>
      </c>
      <c r="V82" s="5">
        <f t="shared" si="36"/>
        <v>0</v>
      </c>
      <c r="W82" s="4"/>
      <c r="X82" s="6">
        <f>20.83</f>
        <v>20.83</v>
      </c>
      <c r="Y82" s="5">
        <f t="shared" si="37"/>
        <v>0</v>
      </c>
      <c r="Z82" s="4"/>
      <c r="AA82" s="6">
        <f>20.83</f>
        <v>20.83</v>
      </c>
      <c r="AB82" s="5">
        <f t="shared" si="38"/>
        <v>0</v>
      </c>
      <c r="AC82" s="4"/>
      <c r="AD82" s="6">
        <f>20.83</f>
        <v>20.83</v>
      </c>
      <c r="AE82" s="5">
        <f t="shared" si="39"/>
        <v>0</v>
      </c>
      <c r="AF82" s="4"/>
      <c r="AG82" s="6">
        <f>20.83</f>
        <v>20.83</v>
      </c>
      <c r="AH82" s="5">
        <f t="shared" si="40"/>
        <v>0</v>
      </c>
      <c r="AI82" s="4"/>
      <c r="AJ82" s="6">
        <f>20.87</f>
        <v>20.87</v>
      </c>
      <c r="AK82" s="5">
        <f t="shared" si="41"/>
        <v>0</v>
      </c>
      <c r="AL82" s="6">
        <f t="shared" si="42"/>
        <v>109.22</v>
      </c>
      <c r="AM82" s="6">
        <f t="shared" si="43"/>
        <v>249.99999999999994</v>
      </c>
      <c r="AN82" s="5">
        <f t="shared" si="44"/>
        <v>0.4368800000000001</v>
      </c>
    </row>
    <row r="83" spans="1:40" x14ac:dyDescent="0.25">
      <c r="A83" s="3" t="s">
        <v>92</v>
      </c>
      <c r="B83" s="4"/>
      <c r="C83" s="6">
        <f>39.17</f>
        <v>39.17</v>
      </c>
      <c r="D83" s="5">
        <f t="shared" si="30"/>
        <v>0</v>
      </c>
      <c r="E83" s="4"/>
      <c r="F83" s="6">
        <f>39.17</f>
        <v>39.17</v>
      </c>
      <c r="G83" s="5">
        <f t="shared" si="31"/>
        <v>0</v>
      </c>
      <c r="H83" s="4"/>
      <c r="I83" s="6">
        <f>39.17</f>
        <v>39.17</v>
      </c>
      <c r="J83" s="5">
        <f t="shared" si="32"/>
        <v>0</v>
      </c>
      <c r="K83" s="4"/>
      <c r="L83" s="6">
        <f>39.17</f>
        <v>39.17</v>
      </c>
      <c r="M83" s="5">
        <f t="shared" si="33"/>
        <v>0</v>
      </c>
      <c r="N83" s="4"/>
      <c r="O83" s="6">
        <f>39.17</f>
        <v>39.17</v>
      </c>
      <c r="P83" s="5">
        <f t="shared" si="34"/>
        <v>0</v>
      </c>
      <c r="Q83" s="4"/>
      <c r="R83" s="6">
        <f>39.17</f>
        <v>39.17</v>
      </c>
      <c r="S83" s="5">
        <f t="shared" si="35"/>
        <v>0</v>
      </c>
      <c r="T83" s="4"/>
      <c r="U83" s="6">
        <f>39.17</f>
        <v>39.17</v>
      </c>
      <c r="V83" s="5">
        <f t="shared" si="36"/>
        <v>0</v>
      </c>
      <c r="W83" s="4"/>
      <c r="X83" s="6">
        <f>39.17</f>
        <v>39.17</v>
      </c>
      <c r="Y83" s="5">
        <f t="shared" si="37"/>
        <v>0</v>
      </c>
      <c r="Z83" s="4"/>
      <c r="AA83" s="6">
        <f>39.17</f>
        <v>39.17</v>
      </c>
      <c r="AB83" s="5">
        <f t="shared" si="38"/>
        <v>0</v>
      </c>
      <c r="AC83" s="4"/>
      <c r="AD83" s="6">
        <f>39.17</f>
        <v>39.17</v>
      </c>
      <c r="AE83" s="5">
        <f t="shared" si="39"/>
        <v>0</v>
      </c>
      <c r="AF83" s="4"/>
      <c r="AG83" s="6">
        <f>39.17</f>
        <v>39.17</v>
      </c>
      <c r="AH83" s="5">
        <f t="shared" si="40"/>
        <v>0</v>
      </c>
      <c r="AI83" s="4"/>
      <c r="AJ83" s="6">
        <f>39.13</f>
        <v>39.130000000000003</v>
      </c>
      <c r="AK83" s="5">
        <f t="shared" si="41"/>
        <v>0</v>
      </c>
      <c r="AL83" s="6">
        <f t="shared" si="42"/>
        <v>0</v>
      </c>
      <c r="AM83" s="6">
        <f t="shared" si="43"/>
        <v>470.00000000000011</v>
      </c>
      <c r="AN83" s="5">
        <f t="shared" si="44"/>
        <v>0</v>
      </c>
    </row>
    <row r="84" spans="1:40" x14ac:dyDescent="0.25">
      <c r="A84" s="3" t="s">
        <v>93</v>
      </c>
      <c r="B84" s="6">
        <f>93.83</f>
        <v>93.83</v>
      </c>
      <c r="C84" s="6">
        <f>141.67</f>
        <v>141.66999999999999</v>
      </c>
      <c r="D84" s="5">
        <f t="shared" si="30"/>
        <v>0.66231382790993154</v>
      </c>
      <c r="E84" s="6">
        <f>100.38</f>
        <v>100.38</v>
      </c>
      <c r="F84" s="6">
        <f>141.67</f>
        <v>141.66999999999999</v>
      </c>
      <c r="G84" s="5">
        <f t="shared" si="31"/>
        <v>0.70854803416390211</v>
      </c>
      <c r="H84" s="6">
        <f>327.12</f>
        <v>327.12</v>
      </c>
      <c r="I84" s="6">
        <f>141.67</f>
        <v>141.66999999999999</v>
      </c>
      <c r="J84" s="5">
        <f t="shared" si="32"/>
        <v>2.3090280228700504</v>
      </c>
      <c r="K84" s="6">
        <f>89.37</f>
        <v>89.37</v>
      </c>
      <c r="L84" s="6">
        <f>141.67</f>
        <v>141.66999999999999</v>
      </c>
      <c r="M84" s="5">
        <f t="shared" si="33"/>
        <v>0.63083221571257153</v>
      </c>
      <c r="N84" s="4"/>
      <c r="O84" s="6">
        <f>141.67</f>
        <v>141.66999999999999</v>
      </c>
      <c r="P84" s="5">
        <f t="shared" si="34"/>
        <v>0</v>
      </c>
      <c r="Q84" s="4"/>
      <c r="R84" s="6">
        <f>141.67</f>
        <v>141.66999999999999</v>
      </c>
      <c r="S84" s="5">
        <f t="shared" si="35"/>
        <v>0</v>
      </c>
      <c r="T84" s="4"/>
      <c r="U84" s="6">
        <f>141.67</f>
        <v>141.66999999999999</v>
      </c>
      <c r="V84" s="5">
        <f t="shared" si="36"/>
        <v>0</v>
      </c>
      <c r="W84" s="4"/>
      <c r="X84" s="6">
        <f>141.67</f>
        <v>141.66999999999999</v>
      </c>
      <c r="Y84" s="5">
        <f t="shared" si="37"/>
        <v>0</v>
      </c>
      <c r="Z84" s="4"/>
      <c r="AA84" s="6">
        <f>141.67</f>
        <v>141.66999999999999</v>
      </c>
      <c r="AB84" s="5">
        <f t="shared" si="38"/>
        <v>0</v>
      </c>
      <c r="AC84" s="4"/>
      <c r="AD84" s="6">
        <f>141.67</f>
        <v>141.66999999999999</v>
      </c>
      <c r="AE84" s="5">
        <f t="shared" si="39"/>
        <v>0</v>
      </c>
      <c r="AF84" s="4"/>
      <c r="AG84" s="6">
        <f>141.67</f>
        <v>141.66999999999999</v>
      </c>
      <c r="AH84" s="5">
        <f t="shared" si="40"/>
        <v>0</v>
      </c>
      <c r="AI84" s="4"/>
      <c r="AJ84" s="6">
        <f>141.63</f>
        <v>141.63</v>
      </c>
      <c r="AK84" s="5">
        <f t="shared" si="41"/>
        <v>0</v>
      </c>
      <c r="AL84" s="6">
        <f t="shared" si="42"/>
        <v>610.69999999999993</v>
      </c>
      <c r="AM84" s="6">
        <f t="shared" si="43"/>
        <v>1700</v>
      </c>
      <c r="AN84" s="5">
        <f t="shared" si="44"/>
        <v>0.35923529411764704</v>
      </c>
    </row>
    <row r="85" spans="1:40" x14ac:dyDescent="0.25">
      <c r="A85" s="3" t="s">
        <v>94</v>
      </c>
      <c r="B85" s="7">
        <f>((B82)+(B83))+(B84)</f>
        <v>119.93</v>
      </c>
      <c r="C85" s="7">
        <f>((C82)+(C83))+(C84)</f>
        <v>201.67</v>
      </c>
      <c r="D85" s="8">
        <f t="shared" si="30"/>
        <v>0.59468438538205992</v>
      </c>
      <c r="E85" s="7">
        <f>((E82)+(E83))+(E84)</f>
        <v>130.56</v>
      </c>
      <c r="F85" s="7">
        <f>((F82)+(F83))+(F84)</f>
        <v>201.67</v>
      </c>
      <c r="G85" s="8">
        <f t="shared" si="31"/>
        <v>0.64739425794614969</v>
      </c>
      <c r="H85" s="7">
        <f>((H82)+(H83))+(H84)</f>
        <v>355.15</v>
      </c>
      <c r="I85" s="7">
        <f>((I82)+(I83))+(I84)</f>
        <v>201.67</v>
      </c>
      <c r="J85" s="8">
        <f t="shared" si="32"/>
        <v>1.7610452719789755</v>
      </c>
      <c r="K85" s="7">
        <f>((K82)+(K83))+(K84)</f>
        <v>114.28</v>
      </c>
      <c r="L85" s="7">
        <f>((L82)+(L83))+(L84)</f>
        <v>201.67</v>
      </c>
      <c r="M85" s="8">
        <f t="shared" si="33"/>
        <v>0.56666831953190866</v>
      </c>
      <c r="N85" s="7">
        <f>((N82)+(N83))+(N84)</f>
        <v>0</v>
      </c>
      <c r="O85" s="7">
        <f>((O82)+(O83))+(O84)</f>
        <v>201.67</v>
      </c>
      <c r="P85" s="8">
        <f t="shared" si="34"/>
        <v>0</v>
      </c>
      <c r="Q85" s="7">
        <f>((Q82)+(Q83))+(Q84)</f>
        <v>0</v>
      </c>
      <c r="R85" s="7">
        <f>((R82)+(R83))+(R84)</f>
        <v>201.67</v>
      </c>
      <c r="S85" s="8">
        <f t="shared" si="35"/>
        <v>0</v>
      </c>
      <c r="T85" s="7">
        <f>((T82)+(T83))+(T84)</f>
        <v>0</v>
      </c>
      <c r="U85" s="7">
        <f>((U82)+(U83))+(U84)</f>
        <v>201.67</v>
      </c>
      <c r="V85" s="8">
        <f t="shared" si="36"/>
        <v>0</v>
      </c>
      <c r="W85" s="7">
        <f>((W82)+(W83))+(W84)</f>
        <v>0</v>
      </c>
      <c r="X85" s="7">
        <f>((X82)+(X83))+(X84)</f>
        <v>201.67</v>
      </c>
      <c r="Y85" s="8">
        <f t="shared" si="37"/>
        <v>0</v>
      </c>
      <c r="Z85" s="7">
        <f>((Z82)+(Z83))+(Z84)</f>
        <v>0</v>
      </c>
      <c r="AA85" s="7">
        <f>((AA82)+(AA83))+(AA84)</f>
        <v>201.67</v>
      </c>
      <c r="AB85" s="8">
        <f t="shared" si="38"/>
        <v>0</v>
      </c>
      <c r="AC85" s="7">
        <f>((AC82)+(AC83))+(AC84)</f>
        <v>0</v>
      </c>
      <c r="AD85" s="7">
        <f>((AD82)+(AD83))+(AD84)</f>
        <v>201.67</v>
      </c>
      <c r="AE85" s="8">
        <f t="shared" si="39"/>
        <v>0</v>
      </c>
      <c r="AF85" s="7">
        <f>((AF82)+(AF83))+(AF84)</f>
        <v>0</v>
      </c>
      <c r="AG85" s="7">
        <f>((AG82)+(AG83))+(AG84)</f>
        <v>201.67</v>
      </c>
      <c r="AH85" s="8">
        <f t="shared" si="40"/>
        <v>0</v>
      </c>
      <c r="AI85" s="7">
        <f>((AI82)+(AI83))+(AI84)</f>
        <v>0</v>
      </c>
      <c r="AJ85" s="7">
        <f>((AJ82)+(AJ83))+(AJ84)</f>
        <v>201.63</v>
      </c>
      <c r="AK85" s="8">
        <f t="shared" si="41"/>
        <v>0</v>
      </c>
      <c r="AL85" s="7">
        <f t="shared" si="42"/>
        <v>719.92</v>
      </c>
      <c r="AM85" s="7">
        <f t="shared" si="43"/>
        <v>2420.0000000000005</v>
      </c>
      <c r="AN85" s="8">
        <f t="shared" si="44"/>
        <v>0.29748760330578505</v>
      </c>
    </row>
    <row r="86" spans="1:40" x14ac:dyDescent="0.25">
      <c r="A86" s="3" t="s">
        <v>95</v>
      </c>
      <c r="B86" s="4"/>
      <c r="C86" s="4"/>
      <c r="D86" s="5" t="str">
        <f t="shared" si="30"/>
        <v/>
      </c>
      <c r="E86" s="4"/>
      <c r="F86" s="4"/>
      <c r="G86" s="5" t="str">
        <f t="shared" si="31"/>
        <v/>
      </c>
      <c r="H86" s="4"/>
      <c r="I86" s="4"/>
      <c r="J86" s="5" t="str">
        <f t="shared" si="32"/>
        <v/>
      </c>
      <c r="K86" s="4"/>
      <c r="L86" s="4"/>
      <c r="M86" s="5" t="str">
        <f t="shared" si="33"/>
        <v/>
      </c>
      <c r="N86" s="4"/>
      <c r="O86" s="4"/>
      <c r="P86" s="5" t="str">
        <f t="shared" si="34"/>
        <v/>
      </c>
      <c r="Q86" s="4"/>
      <c r="R86" s="4"/>
      <c r="S86" s="5" t="str">
        <f t="shared" si="35"/>
        <v/>
      </c>
      <c r="T86" s="4"/>
      <c r="U86" s="4"/>
      <c r="V86" s="5" t="str">
        <f t="shared" si="36"/>
        <v/>
      </c>
      <c r="W86" s="4"/>
      <c r="X86" s="4"/>
      <c r="Y86" s="5" t="str">
        <f t="shared" si="37"/>
        <v/>
      </c>
      <c r="Z86" s="4"/>
      <c r="AA86" s="4"/>
      <c r="AB86" s="5" t="str">
        <f t="shared" si="38"/>
        <v/>
      </c>
      <c r="AC86" s="4"/>
      <c r="AD86" s="4"/>
      <c r="AE86" s="5" t="str">
        <f t="shared" si="39"/>
        <v/>
      </c>
      <c r="AF86" s="4"/>
      <c r="AG86" s="4"/>
      <c r="AH86" s="5" t="str">
        <f t="shared" si="40"/>
        <v/>
      </c>
      <c r="AI86" s="4"/>
      <c r="AJ86" s="4"/>
      <c r="AK86" s="5" t="str">
        <f t="shared" si="41"/>
        <v/>
      </c>
      <c r="AL86" s="6">
        <f t="shared" si="42"/>
        <v>0</v>
      </c>
      <c r="AM86" s="6">
        <f t="shared" si="43"/>
        <v>0</v>
      </c>
      <c r="AN86" s="5" t="str">
        <f t="shared" si="44"/>
        <v/>
      </c>
    </row>
    <row r="87" spans="1:40" x14ac:dyDescent="0.25">
      <c r="A87" s="3" t="s">
        <v>96</v>
      </c>
      <c r="B87" s="4"/>
      <c r="C87" s="6">
        <f>250</f>
        <v>250</v>
      </c>
      <c r="D87" s="5">
        <f t="shared" si="30"/>
        <v>0</v>
      </c>
      <c r="E87" s="4"/>
      <c r="F87" s="6">
        <f>250</f>
        <v>250</v>
      </c>
      <c r="G87" s="5">
        <f t="shared" si="31"/>
        <v>0</v>
      </c>
      <c r="H87" s="4"/>
      <c r="I87" s="6">
        <f>250</f>
        <v>250</v>
      </c>
      <c r="J87" s="5">
        <f t="shared" si="32"/>
        <v>0</v>
      </c>
      <c r="K87" s="6">
        <f>165.89</f>
        <v>165.89</v>
      </c>
      <c r="L87" s="6">
        <f>250</f>
        <v>250</v>
      </c>
      <c r="M87" s="5">
        <f t="shared" si="33"/>
        <v>0.66355999999999993</v>
      </c>
      <c r="N87" s="4"/>
      <c r="O87" s="6">
        <f>250</f>
        <v>250</v>
      </c>
      <c r="P87" s="5">
        <f t="shared" si="34"/>
        <v>0</v>
      </c>
      <c r="Q87" s="4"/>
      <c r="R87" s="6">
        <f>250</f>
        <v>250</v>
      </c>
      <c r="S87" s="5">
        <f t="shared" si="35"/>
        <v>0</v>
      </c>
      <c r="T87" s="4"/>
      <c r="U87" s="6">
        <f>250</f>
        <v>250</v>
      </c>
      <c r="V87" s="5">
        <f t="shared" si="36"/>
        <v>0</v>
      </c>
      <c r="W87" s="4"/>
      <c r="X87" s="6">
        <f>250</f>
        <v>250</v>
      </c>
      <c r="Y87" s="5">
        <f t="shared" si="37"/>
        <v>0</v>
      </c>
      <c r="Z87" s="4"/>
      <c r="AA87" s="6">
        <f>250</f>
        <v>250</v>
      </c>
      <c r="AB87" s="5">
        <f t="shared" si="38"/>
        <v>0</v>
      </c>
      <c r="AC87" s="4"/>
      <c r="AD87" s="6">
        <f>250</f>
        <v>250</v>
      </c>
      <c r="AE87" s="5">
        <f t="shared" si="39"/>
        <v>0</v>
      </c>
      <c r="AF87" s="4"/>
      <c r="AG87" s="6">
        <f>250</f>
        <v>250</v>
      </c>
      <c r="AH87" s="5">
        <f t="shared" si="40"/>
        <v>0</v>
      </c>
      <c r="AI87" s="4"/>
      <c r="AJ87" s="6">
        <f>250</f>
        <v>250</v>
      </c>
      <c r="AK87" s="5">
        <f t="shared" si="41"/>
        <v>0</v>
      </c>
      <c r="AL87" s="6">
        <f t="shared" si="42"/>
        <v>165.89</v>
      </c>
      <c r="AM87" s="6">
        <f t="shared" si="43"/>
        <v>3000</v>
      </c>
      <c r="AN87" s="5">
        <f t="shared" si="44"/>
        <v>5.5296666666666661E-2</v>
      </c>
    </row>
    <row r="88" spans="1:40" x14ac:dyDescent="0.25">
      <c r="A88" s="3" t="s">
        <v>97</v>
      </c>
      <c r="B88" s="6">
        <f>167.68</f>
        <v>167.68</v>
      </c>
      <c r="C88" s="6">
        <f>200</f>
        <v>200</v>
      </c>
      <c r="D88" s="5">
        <f t="shared" si="30"/>
        <v>0.83840000000000003</v>
      </c>
      <c r="E88" s="6">
        <f>147.68</f>
        <v>147.68</v>
      </c>
      <c r="F88" s="6">
        <f>200</f>
        <v>200</v>
      </c>
      <c r="G88" s="5">
        <f t="shared" si="31"/>
        <v>0.73840000000000006</v>
      </c>
      <c r="H88" s="6">
        <f>147.68</f>
        <v>147.68</v>
      </c>
      <c r="I88" s="6">
        <f>200</f>
        <v>200</v>
      </c>
      <c r="J88" s="5">
        <f t="shared" si="32"/>
        <v>0.73840000000000006</v>
      </c>
      <c r="K88" s="6">
        <f>360.18</f>
        <v>360.18</v>
      </c>
      <c r="L88" s="6">
        <f>200</f>
        <v>200</v>
      </c>
      <c r="M88" s="5">
        <f t="shared" si="33"/>
        <v>1.8008999999999999</v>
      </c>
      <c r="N88" s="4"/>
      <c r="O88" s="6">
        <f>200</f>
        <v>200</v>
      </c>
      <c r="P88" s="5">
        <f t="shared" si="34"/>
        <v>0</v>
      </c>
      <c r="Q88" s="4"/>
      <c r="R88" s="6">
        <f>200</f>
        <v>200</v>
      </c>
      <c r="S88" s="5">
        <f t="shared" si="35"/>
        <v>0</v>
      </c>
      <c r="T88" s="4"/>
      <c r="U88" s="6">
        <f>200</f>
        <v>200</v>
      </c>
      <c r="V88" s="5">
        <f t="shared" si="36"/>
        <v>0</v>
      </c>
      <c r="W88" s="4"/>
      <c r="X88" s="6">
        <f>200</f>
        <v>200</v>
      </c>
      <c r="Y88" s="5">
        <f t="shared" si="37"/>
        <v>0</v>
      </c>
      <c r="Z88" s="4"/>
      <c r="AA88" s="6">
        <f>200</f>
        <v>200</v>
      </c>
      <c r="AB88" s="5">
        <f t="shared" si="38"/>
        <v>0</v>
      </c>
      <c r="AC88" s="4"/>
      <c r="AD88" s="6">
        <f>200</f>
        <v>200</v>
      </c>
      <c r="AE88" s="5">
        <f t="shared" si="39"/>
        <v>0</v>
      </c>
      <c r="AF88" s="4"/>
      <c r="AG88" s="6">
        <f>200</f>
        <v>200</v>
      </c>
      <c r="AH88" s="5">
        <f t="shared" si="40"/>
        <v>0</v>
      </c>
      <c r="AI88" s="4"/>
      <c r="AJ88" s="6">
        <f>200</f>
        <v>200</v>
      </c>
      <c r="AK88" s="5">
        <f t="shared" si="41"/>
        <v>0</v>
      </c>
      <c r="AL88" s="6">
        <f t="shared" si="42"/>
        <v>823.22</v>
      </c>
      <c r="AM88" s="6">
        <f t="shared" si="43"/>
        <v>2400</v>
      </c>
      <c r="AN88" s="5">
        <f t="shared" si="44"/>
        <v>0.34300833333333336</v>
      </c>
    </row>
    <row r="89" spans="1:40" x14ac:dyDescent="0.25">
      <c r="A89" s="3" t="s">
        <v>98</v>
      </c>
      <c r="B89" s="7">
        <f>((B86)+(B87))+(B88)</f>
        <v>167.68</v>
      </c>
      <c r="C89" s="7">
        <f>((C86)+(C87))+(C88)</f>
        <v>450</v>
      </c>
      <c r="D89" s="8">
        <f t="shared" si="30"/>
        <v>0.37262222222222224</v>
      </c>
      <c r="E89" s="7">
        <f>((E86)+(E87))+(E88)</f>
        <v>147.68</v>
      </c>
      <c r="F89" s="7">
        <f>((F86)+(F87))+(F88)</f>
        <v>450</v>
      </c>
      <c r="G89" s="8">
        <f t="shared" si="31"/>
        <v>0.32817777777777779</v>
      </c>
      <c r="H89" s="7">
        <f>((H86)+(H87))+(H88)</f>
        <v>147.68</v>
      </c>
      <c r="I89" s="7">
        <f>((I86)+(I87))+(I88)</f>
        <v>450</v>
      </c>
      <c r="J89" s="8">
        <f t="shared" si="32"/>
        <v>0.32817777777777779</v>
      </c>
      <c r="K89" s="7">
        <f>((K86)+(K87))+(K88)</f>
        <v>526.06999999999994</v>
      </c>
      <c r="L89" s="7">
        <f>((L86)+(L87))+(L88)</f>
        <v>450</v>
      </c>
      <c r="M89" s="8">
        <f t="shared" si="33"/>
        <v>1.1690444444444443</v>
      </c>
      <c r="N89" s="7">
        <f>((N86)+(N87))+(N88)</f>
        <v>0</v>
      </c>
      <c r="O89" s="7">
        <f>((O86)+(O87))+(O88)</f>
        <v>450</v>
      </c>
      <c r="P89" s="8">
        <f t="shared" si="34"/>
        <v>0</v>
      </c>
      <c r="Q89" s="7">
        <f>((Q86)+(Q87))+(Q88)</f>
        <v>0</v>
      </c>
      <c r="R89" s="7">
        <f>((R86)+(R87))+(R88)</f>
        <v>450</v>
      </c>
      <c r="S89" s="8">
        <f t="shared" si="35"/>
        <v>0</v>
      </c>
      <c r="T89" s="7">
        <f>((T86)+(T87))+(T88)</f>
        <v>0</v>
      </c>
      <c r="U89" s="7">
        <f>((U86)+(U87))+(U88)</f>
        <v>450</v>
      </c>
      <c r="V89" s="8">
        <f t="shared" si="36"/>
        <v>0</v>
      </c>
      <c r="W89" s="7">
        <f>((W86)+(W87))+(W88)</f>
        <v>0</v>
      </c>
      <c r="X89" s="7">
        <f>((X86)+(X87))+(X88)</f>
        <v>450</v>
      </c>
      <c r="Y89" s="8">
        <f t="shared" si="37"/>
        <v>0</v>
      </c>
      <c r="Z89" s="7">
        <f>((Z86)+(Z87))+(Z88)</f>
        <v>0</v>
      </c>
      <c r="AA89" s="7">
        <f>((AA86)+(AA87))+(AA88)</f>
        <v>450</v>
      </c>
      <c r="AB89" s="8">
        <f t="shared" si="38"/>
        <v>0</v>
      </c>
      <c r="AC89" s="7">
        <f>((AC86)+(AC87))+(AC88)</f>
        <v>0</v>
      </c>
      <c r="AD89" s="7">
        <f>((AD86)+(AD87))+(AD88)</f>
        <v>450</v>
      </c>
      <c r="AE89" s="8">
        <f t="shared" si="39"/>
        <v>0</v>
      </c>
      <c r="AF89" s="7">
        <f>((AF86)+(AF87))+(AF88)</f>
        <v>0</v>
      </c>
      <c r="AG89" s="7">
        <f>((AG86)+(AG87))+(AG88)</f>
        <v>450</v>
      </c>
      <c r="AH89" s="8">
        <f t="shared" si="40"/>
        <v>0</v>
      </c>
      <c r="AI89" s="7">
        <f>((AI86)+(AI87))+(AI88)</f>
        <v>0</v>
      </c>
      <c r="AJ89" s="7">
        <f>((AJ86)+(AJ87))+(AJ88)</f>
        <v>450</v>
      </c>
      <c r="AK89" s="8">
        <f t="shared" si="41"/>
        <v>0</v>
      </c>
      <c r="AL89" s="7">
        <f t="shared" si="42"/>
        <v>989.1099999999999</v>
      </c>
      <c r="AM89" s="7">
        <f t="shared" si="43"/>
        <v>5400</v>
      </c>
      <c r="AN89" s="8">
        <f t="shared" si="44"/>
        <v>0.18316851851851851</v>
      </c>
    </row>
    <row r="90" spans="1:40" x14ac:dyDescent="0.25">
      <c r="A90" s="3" t="s">
        <v>99</v>
      </c>
      <c r="B90" s="6">
        <f>70</f>
        <v>70</v>
      </c>
      <c r="C90" s="6">
        <f>333.33</f>
        <v>333.33</v>
      </c>
      <c r="D90" s="5">
        <f t="shared" si="30"/>
        <v>0.21000210002100023</v>
      </c>
      <c r="E90" s="6">
        <f>1241.61</f>
        <v>1241.6099999999999</v>
      </c>
      <c r="F90" s="6">
        <f>333.33</f>
        <v>333.33</v>
      </c>
      <c r="G90" s="5">
        <f t="shared" si="31"/>
        <v>3.7248672486724868</v>
      </c>
      <c r="H90" s="6">
        <f>40</f>
        <v>40</v>
      </c>
      <c r="I90" s="6">
        <f>333.33</f>
        <v>333.33</v>
      </c>
      <c r="J90" s="5">
        <f t="shared" si="32"/>
        <v>0.12000120001200013</v>
      </c>
      <c r="K90" s="6">
        <f>110</f>
        <v>110</v>
      </c>
      <c r="L90" s="6">
        <f>333.33</f>
        <v>333.33</v>
      </c>
      <c r="M90" s="5">
        <f t="shared" si="33"/>
        <v>0.33000330003300032</v>
      </c>
      <c r="N90" s="6"/>
      <c r="O90" s="6">
        <f>333.33</f>
        <v>333.33</v>
      </c>
      <c r="P90" s="5">
        <f t="shared" si="34"/>
        <v>0</v>
      </c>
      <c r="Q90" s="4"/>
      <c r="R90" s="6">
        <f>333.33</f>
        <v>333.33</v>
      </c>
      <c r="S90" s="5">
        <f t="shared" si="35"/>
        <v>0</v>
      </c>
      <c r="T90" s="4"/>
      <c r="U90" s="6">
        <f>333.33</f>
        <v>333.33</v>
      </c>
      <c r="V90" s="5">
        <f t="shared" si="36"/>
        <v>0</v>
      </c>
      <c r="W90" s="4"/>
      <c r="X90" s="6">
        <f>333.33</f>
        <v>333.33</v>
      </c>
      <c r="Y90" s="5">
        <f t="shared" si="37"/>
        <v>0</v>
      </c>
      <c r="Z90" s="4"/>
      <c r="AA90" s="6">
        <f>333.33</f>
        <v>333.33</v>
      </c>
      <c r="AB90" s="5">
        <f t="shared" si="38"/>
        <v>0</v>
      </c>
      <c r="AC90" s="4"/>
      <c r="AD90" s="6">
        <f>333.33</f>
        <v>333.33</v>
      </c>
      <c r="AE90" s="5">
        <f t="shared" si="39"/>
        <v>0</v>
      </c>
      <c r="AF90" s="4"/>
      <c r="AG90" s="6">
        <f>333.33</f>
        <v>333.33</v>
      </c>
      <c r="AH90" s="5">
        <f t="shared" si="40"/>
        <v>0</v>
      </c>
      <c r="AI90" s="4"/>
      <c r="AJ90" s="6">
        <f>333.37</f>
        <v>333.37</v>
      </c>
      <c r="AK90" s="5">
        <f t="shared" si="41"/>
        <v>0</v>
      </c>
      <c r="AL90" s="6">
        <f t="shared" si="42"/>
        <v>1461.61</v>
      </c>
      <c r="AM90" s="6">
        <f t="shared" si="43"/>
        <v>3999.9999999999995</v>
      </c>
      <c r="AN90" s="5">
        <f t="shared" si="44"/>
        <v>0.36540250000000002</v>
      </c>
    </row>
    <row r="91" spans="1:40" x14ac:dyDescent="0.25">
      <c r="A91" s="3" t="s">
        <v>100</v>
      </c>
      <c r="B91" s="6">
        <f>4875.21</f>
        <v>4875.21</v>
      </c>
      <c r="C91" s="6">
        <f>2208.33</f>
        <v>2208.33</v>
      </c>
      <c r="D91" s="5">
        <f t="shared" si="30"/>
        <v>2.2076455964461834</v>
      </c>
      <c r="E91" s="6">
        <f>489.61</f>
        <v>489.61</v>
      </c>
      <c r="F91" s="6">
        <f>2208.33</f>
        <v>2208.33</v>
      </c>
      <c r="G91" s="5">
        <f t="shared" si="31"/>
        <v>0.22171052333663901</v>
      </c>
      <c r="H91" s="6">
        <f>508.64</f>
        <v>508.64</v>
      </c>
      <c r="I91" s="6">
        <f>2208.33</f>
        <v>2208.33</v>
      </c>
      <c r="J91" s="5">
        <f t="shared" si="32"/>
        <v>0.23032789483455823</v>
      </c>
      <c r="K91" s="6">
        <f>4715.04</f>
        <v>4715.04</v>
      </c>
      <c r="L91" s="6">
        <f>2208.33</f>
        <v>2208.33</v>
      </c>
      <c r="M91" s="5">
        <f t="shared" si="33"/>
        <v>2.1351156756463028</v>
      </c>
      <c r="N91" s="4"/>
      <c r="O91" s="6">
        <f>2208.33</f>
        <v>2208.33</v>
      </c>
      <c r="P91" s="5">
        <f t="shared" si="34"/>
        <v>0</v>
      </c>
      <c r="Q91" s="4"/>
      <c r="R91" s="6">
        <f>2208.33</f>
        <v>2208.33</v>
      </c>
      <c r="S91" s="5">
        <f t="shared" si="35"/>
        <v>0</v>
      </c>
      <c r="T91" s="4"/>
      <c r="U91" s="6">
        <f>2208.33</f>
        <v>2208.33</v>
      </c>
      <c r="V91" s="5">
        <f t="shared" si="36"/>
        <v>0</v>
      </c>
      <c r="W91" s="4"/>
      <c r="X91" s="6">
        <f>2208.33</f>
        <v>2208.33</v>
      </c>
      <c r="Y91" s="5">
        <f t="shared" si="37"/>
        <v>0</v>
      </c>
      <c r="Z91" s="4"/>
      <c r="AA91" s="6">
        <f>2208.33</f>
        <v>2208.33</v>
      </c>
      <c r="AB91" s="5">
        <f t="shared" si="38"/>
        <v>0</v>
      </c>
      <c r="AC91" s="4"/>
      <c r="AD91" s="6">
        <f>2208.33</f>
        <v>2208.33</v>
      </c>
      <c r="AE91" s="5">
        <f t="shared" si="39"/>
        <v>0</v>
      </c>
      <c r="AF91" s="4"/>
      <c r="AG91" s="6">
        <f>2208.33</f>
        <v>2208.33</v>
      </c>
      <c r="AH91" s="5">
        <f t="shared" si="40"/>
        <v>0</v>
      </c>
      <c r="AI91" s="4"/>
      <c r="AJ91" s="6">
        <f>2208.37</f>
        <v>2208.37</v>
      </c>
      <c r="AK91" s="5">
        <f t="shared" si="41"/>
        <v>0</v>
      </c>
      <c r="AL91" s="6">
        <f t="shared" si="42"/>
        <v>10588.5</v>
      </c>
      <c r="AM91" s="6">
        <f t="shared" si="43"/>
        <v>26500.000000000004</v>
      </c>
      <c r="AN91" s="5">
        <f t="shared" si="44"/>
        <v>0.39956603773584898</v>
      </c>
    </row>
    <row r="92" spans="1:40" x14ac:dyDescent="0.25">
      <c r="A92" s="3" t="s">
        <v>101</v>
      </c>
      <c r="B92" s="4"/>
      <c r="C92" s="6">
        <f>608.33</f>
        <v>608.33000000000004</v>
      </c>
      <c r="D92" s="5">
        <f t="shared" si="30"/>
        <v>0</v>
      </c>
      <c r="E92" s="4"/>
      <c r="F92" s="6">
        <f>608.33</f>
        <v>608.33000000000004</v>
      </c>
      <c r="G92" s="5">
        <f t="shared" si="31"/>
        <v>0</v>
      </c>
      <c r="H92" s="4"/>
      <c r="I92" s="6">
        <f>608.33</f>
        <v>608.33000000000004</v>
      </c>
      <c r="J92" s="5">
        <f t="shared" si="32"/>
        <v>0</v>
      </c>
      <c r="K92" s="6">
        <f>166</f>
        <v>166</v>
      </c>
      <c r="L92" s="6">
        <f>608.33</f>
        <v>608.33000000000004</v>
      </c>
      <c r="M92" s="5">
        <f t="shared" si="33"/>
        <v>0.27287820755182218</v>
      </c>
      <c r="N92" s="4"/>
      <c r="O92" s="6">
        <f>608.33</f>
        <v>608.33000000000004</v>
      </c>
      <c r="P92" s="5">
        <f t="shared" si="34"/>
        <v>0</v>
      </c>
      <c r="Q92" s="4"/>
      <c r="R92" s="6">
        <f>608.33</f>
        <v>608.33000000000004</v>
      </c>
      <c r="S92" s="5">
        <f t="shared" si="35"/>
        <v>0</v>
      </c>
      <c r="T92" s="4"/>
      <c r="U92" s="6">
        <f>608.33</f>
        <v>608.33000000000004</v>
      </c>
      <c r="V92" s="5">
        <f t="shared" si="36"/>
        <v>0</v>
      </c>
      <c r="W92" s="4"/>
      <c r="X92" s="6">
        <f>608.33</f>
        <v>608.33000000000004</v>
      </c>
      <c r="Y92" s="5">
        <f t="shared" si="37"/>
        <v>0</v>
      </c>
      <c r="Z92" s="4"/>
      <c r="AA92" s="6">
        <f>608.33</f>
        <v>608.33000000000004</v>
      </c>
      <c r="AB92" s="5">
        <f t="shared" si="38"/>
        <v>0</v>
      </c>
      <c r="AC92" s="4"/>
      <c r="AD92" s="6">
        <f>608.33</f>
        <v>608.33000000000004</v>
      </c>
      <c r="AE92" s="5">
        <f t="shared" si="39"/>
        <v>0</v>
      </c>
      <c r="AF92" s="4"/>
      <c r="AG92" s="6">
        <f>608.33</f>
        <v>608.33000000000004</v>
      </c>
      <c r="AH92" s="5">
        <f t="shared" si="40"/>
        <v>0</v>
      </c>
      <c r="AI92" s="4"/>
      <c r="AJ92" s="6">
        <f>608.37</f>
        <v>608.37</v>
      </c>
      <c r="AK92" s="5">
        <f t="shared" si="41"/>
        <v>0</v>
      </c>
      <c r="AL92" s="6">
        <f t="shared" si="42"/>
        <v>166</v>
      </c>
      <c r="AM92" s="6">
        <f t="shared" si="43"/>
        <v>7300</v>
      </c>
      <c r="AN92" s="5">
        <f t="shared" si="44"/>
        <v>2.273972602739726E-2</v>
      </c>
    </row>
    <row r="93" spans="1:40" x14ac:dyDescent="0.25">
      <c r="A93" s="3" t="s">
        <v>102</v>
      </c>
      <c r="B93" s="4"/>
      <c r="C93" s="6">
        <f>41.67</f>
        <v>41.67</v>
      </c>
      <c r="D93" s="5">
        <f t="shared" si="30"/>
        <v>0</v>
      </c>
      <c r="E93" s="4"/>
      <c r="F93" s="6">
        <f>41.67</f>
        <v>41.67</v>
      </c>
      <c r="G93" s="5">
        <f t="shared" si="31"/>
        <v>0</v>
      </c>
      <c r="H93" s="4"/>
      <c r="I93" s="6">
        <f>41.67</f>
        <v>41.67</v>
      </c>
      <c r="J93" s="5">
        <f t="shared" si="32"/>
        <v>0</v>
      </c>
      <c r="K93" s="4"/>
      <c r="L93" s="6">
        <f>41.67</f>
        <v>41.67</v>
      </c>
      <c r="M93" s="5">
        <f t="shared" si="33"/>
        <v>0</v>
      </c>
      <c r="N93" s="4"/>
      <c r="O93" s="6">
        <f>41.67</f>
        <v>41.67</v>
      </c>
      <c r="P93" s="5">
        <f t="shared" si="34"/>
        <v>0</v>
      </c>
      <c r="Q93" s="4"/>
      <c r="R93" s="6">
        <f>41.67</f>
        <v>41.67</v>
      </c>
      <c r="S93" s="5">
        <f t="shared" si="35"/>
        <v>0</v>
      </c>
      <c r="T93" s="4"/>
      <c r="U93" s="6">
        <f>41.67</f>
        <v>41.67</v>
      </c>
      <c r="V93" s="5">
        <f t="shared" si="36"/>
        <v>0</v>
      </c>
      <c r="W93" s="4"/>
      <c r="X93" s="6">
        <f>41.67</f>
        <v>41.67</v>
      </c>
      <c r="Y93" s="5">
        <f t="shared" si="37"/>
        <v>0</v>
      </c>
      <c r="Z93" s="4"/>
      <c r="AA93" s="6">
        <f>41.67</f>
        <v>41.67</v>
      </c>
      <c r="AB93" s="5">
        <f t="shared" si="38"/>
        <v>0</v>
      </c>
      <c r="AC93" s="4"/>
      <c r="AD93" s="6">
        <f>41.67</f>
        <v>41.67</v>
      </c>
      <c r="AE93" s="5">
        <f t="shared" si="39"/>
        <v>0</v>
      </c>
      <c r="AF93" s="4"/>
      <c r="AG93" s="6">
        <f>41.67</f>
        <v>41.67</v>
      </c>
      <c r="AH93" s="5">
        <f t="shared" si="40"/>
        <v>0</v>
      </c>
      <c r="AI93" s="4"/>
      <c r="AJ93" s="6">
        <f>41.63</f>
        <v>41.63</v>
      </c>
      <c r="AK93" s="5">
        <f t="shared" si="41"/>
        <v>0</v>
      </c>
      <c r="AL93" s="6">
        <f t="shared" si="42"/>
        <v>0</v>
      </c>
      <c r="AM93" s="6">
        <f t="shared" si="43"/>
        <v>500.00000000000011</v>
      </c>
      <c r="AN93" s="5">
        <f t="shared" si="44"/>
        <v>0</v>
      </c>
    </row>
    <row r="94" spans="1:40" x14ac:dyDescent="0.25">
      <c r="A94" s="3" t="s">
        <v>103</v>
      </c>
      <c r="B94" s="4"/>
      <c r="C94" s="6">
        <f>50</f>
        <v>50</v>
      </c>
      <c r="D94" s="5">
        <f t="shared" si="30"/>
        <v>0</v>
      </c>
      <c r="E94" s="4"/>
      <c r="F94" s="6">
        <f>50</f>
        <v>50</v>
      </c>
      <c r="G94" s="5">
        <f t="shared" si="31"/>
        <v>0</v>
      </c>
      <c r="H94" s="4"/>
      <c r="I94" s="6">
        <f>50</f>
        <v>50</v>
      </c>
      <c r="J94" s="5">
        <f t="shared" si="32"/>
        <v>0</v>
      </c>
      <c r="K94" s="4"/>
      <c r="L94" s="6">
        <f>50</f>
        <v>50</v>
      </c>
      <c r="M94" s="5">
        <f t="shared" si="33"/>
        <v>0</v>
      </c>
      <c r="N94" s="4"/>
      <c r="O94" s="6">
        <f>50</f>
        <v>50</v>
      </c>
      <c r="P94" s="5">
        <f t="shared" si="34"/>
        <v>0</v>
      </c>
      <c r="Q94" s="4"/>
      <c r="R94" s="6">
        <f>50</f>
        <v>50</v>
      </c>
      <c r="S94" s="5">
        <f t="shared" si="35"/>
        <v>0</v>
      </c>
      <c r="T94" s="4"/>
      <c r="U94" s="6">
        <f>50</f>
        <v>50</v>
      </c>
      <c r="V94" s="5">
        <f t="shared" si="36"/>
        <v>0</v>
      </c>
      <c r="W94" s="4"/>
      <c r="X94" s="6">
        <f>50</f>
        <v>50</v>
      </c>
      <c r="Y94" s="5">
        <f t="shared" si="37"/>
        <v>0</v>
      </c>
      <c r="Z94" s="4"/>
      <c r="AA94" s="6">
        <f>50</f>
        <v>50</v>
      </c>
      <c r="AB94" s="5">
        <f t="shared" si="38"/>
        <v>0</v>
      </c>
      <c r="AC94" s="4"/>
      <c r="AD94" s="6">
        <f>50</f>
        <v>50</v>
      </c>
      <c r="AE94" s="5">
        <f t="shared" si="39"/>
        <v>0</v>
      </c>
      <c r="AF94" s="4"/>
      <c r="AG94" s="6">
        <f>50</f>
        <v>50</v>
      </c>
      <c r="AH94" s="5">
        <f t="shared" si="40"/>
        <v>0</v>
      </c>
      <c r="AI94" s="4"/>
      <c r="AJ94" s="6">
        <f>50</f>
        <v>50</v>
      </c>
      <c r="AK94" s="5">
        <f t="shared" si="41"/>
        <v>0</v>
      </c>
      <c r="AL94" s="6">
        <f t="shared" si="42"/>
        <v>0</v>
      </c>
      <c r="AM94" s="6">
        <f t="shared" si="43"/>
        <v>600</v>
      </c>
      <c r="AN94" s="5">
        <f t="shared" si="44"/>
        <v>0</v>
      </c>
    </row>
    <row r="95" spans="1:40" x14ac:dyDescent="0.25">
      <c r="A95" s="3" t="s">
        <v>104</v>
      </c>
      <c r="B95" s="6">
        <f>205.2</f>
        <v>205.2</v>
      </c>
      <c r="C95" s="6">
        <f>14.58</f>
        <v>14.58</v>
      </c>
      <c r="D95" s="5">
        <f t="shared" si="30"/>
        <v>14.074074074074073</v>
      </c>
      <c r="E95" s="4"/>
      <c r="F95" s="6">
        <f>14.58</f>
        <v>14.58</v>
      </c>
      <c r="G95" s="5">
        <f t="shared" si="31"/>
        <v>0</v>
      </c>
      <c r="H95" s="4"/>
      <c r="I95" s="6">
        <f>14.58</f>
        <v>14.58</v>
      </c>
      <c r="J95" s="5">
        <f t="shared" si="32"/>
        <v>0</v>
      </c>
      <c r="K95" s="4"/>
      <c r="L95" s="6">
        <f>14.58</f>
        <v>14.58</v>
      </c>
      <c r="M95" s="5">
        <f t="shared" si="33"/>
        <v>0</v>
      </c>
      <c r="N95" s="4"/>
      <c r="O95" s="6">
        <f>14.58</f>
        <v>14.58</v>
      </c>
      <c r="P95" s="5">
        <f t="shared" si="34"/>
        <v>0</v>
      </c>
      <c r="Q95" s="4"/>
      <c r="R95" s="6">
        <f>14.58</f>
        <v>14.58</v>
      </c>
      <c r="S95" s="5">
        <f t="shared" si="35"/>
        <v>0</v>
      </c>
      <c r="T95" s="4"/>
      <c r="U95" s="6">
        <f>14.58</f>
        <v>14.58</v>
      </c>
      <c r="V95" s="5">
        <f t="shared" si="36"/>
        <v>0</v>
      </c>
      <c r="W95" s="4"/>
      <c r="X95" s="6">
        <f>14.58</f>
        <v>14.58</v>
      </c>
      <c r="Y95" s="5">
        <f t="shared" si="37"/>
        <v>0</v>
      </c>
      <c r="Z95" s="4"/>
      <c r="AA95" s="6">
        <f>14.58</f>
        <v>14.58</v>
      </c>
      <c r="AB95" s="5">
        <f t="shared" si="38"/>
        <v>0</v>
      </c>
      <c r="AC95" s="4"/>
      <c r="AD95" s="6">
        <f>14.58</f>
        <v>14.58</v>
      </c>
      <c r="AE95" s="5">
        <f t="shared" si="39"/>
        <v>0</v>
      </c>
      <c r="AF95" s="4"/>
      <c r="AG95" s="6">
        <f>14.58</f>
        <v>14.58</v>
      </c>
      <c r="AH95" s="5">
        <f t="shared" si="40"/>
        <v>0</v>
      </c>
      <c r="AI95" s="4"/>
      <c r="AJ95" s="6">
        <f>14.62</f>
        <v>14.62</v>
      </c>
      <c r="AK95" s="5">
        <f t="shared" si="41"/>
        <v>0</v>
      </c>
      <c r="AL95" s="6">
        <f t="shared" si="42"/>
        <v>205.2</v>
      </c>
      <c r="AM95" s="6">
        <f t="shared" si="43"/>
        <v>175.00000000000003</v>
      </c>
      <c r="AN95" s="5">
        <f t="shared" si="44"/>
        <v>1.1725714285714284</v>
      </c>
    </row>
    <row r="96" spans="1:40" x14ac:dyDescent="0.25">
      <c r="A96" s="3" t="s">
        <v>105</v>
      </c>
      <c r="B96" s="4"/>
      <c r="C96" s="4"/>
      <c r="D96" s="5" t="str">
        <f t="shared" si="30"/>
        <v/>
      </c>
      <c r="E96" s="4"/>
      <c r="F96" s="4"/>
      <c r="G96" s="5" t="str">
        <f t="shared" si="31"/>
        <v/>
      </c>
      <c r="H96" s="4"/>
      <c r="I96" s="4"/>
      <c r="J96" s="5" t="str">
        <f t="shared" si="32"/>
        <v/>
      </c>
      <c r="K96" s="4"/>
      <c r="L96" s="4"/>
      <c r="M96" s="5" t="str">
        <f t="shared" si="33"/>
        <v/>
      </c>
      <c r="N96" s="4"/>
      <c r="O96" s="4"/>
      <c r="P96" s="5" t="str">
        <f t="shared" si="34"/>
        <v/>
      </c>
      <c r="Q96" s="4"/>
      <c r="R96" s="4"/>
      <c r="S96" s="5" t="str">
        <f t="shared" si="35"/>
        <v/>
      </c>
      <c r="T96" s="4"/>
      <c r="U96" s="4"/>
      <c r="V96" s="5" t="str">
        <f t="shared" si="36"/>
        <v/>
      </c>
      <c r="W96" s="4"/>
      <c r="X96" s="4"/>
      <c r="Y96" s="5" t="str">
        <f t="shared" si="37"/>
        <v/>
      </c>
      <c r="Z96" s="4"/>
      <c r="AA96" s="4"/>
      <c r="AB96" s="5" t="str">
        <f t="shared" si="38"/>
        <v/>
      </c>
      <c r="AC96" s="4"/>
      <c r="AD96" s="4"/>
      <c r="AE96" s="5" t="str">
        <f t="shared" si="39"/>
        <v/>
      </c>
      <c r="AF96" s="4"/>
      <c r="AG96" s="4"/>
      <c r="AH96" s="5" t="str">
        <f t="shared" si="40"/>
        <v/>
      </c>
      <c r="AI96" s="4"/>
      <c r="AJ96" s="4"/>
      <c r="AK96" s="5" t="str">
        <f t="shared" si="41"/>
        <v/>
      </c>
      <c r="AL96" s="6">
        <f t="shared" si="42"/>
        <v>0</v>
      </c>
      <c r="AM96" s="6">
        <f t="shared" si="43"/>
        <v>0</v>
      </c>
      <c r="AN96" s="5" t="str">
        <f t="shared" si="44"/>
        <v/>
      </c>
    </row>
    <row r="97" spans="1:40" x14ac:dyDescent="0.25">
      <c r="A97" s="3" t="s">
        <v>106</v>
      </c>
      <c r="B97" s="6">
        <f>244.9</f>
        <v>244.9</v>
      </c>
      <c r="C97" s="6">
        <f>250</f>
        <v>250</v>
      </c>
      <c r="D97" s="5">
        <f t="shared" si="30"/>
        <v>0.97960000000000003</v>
      </c>
      <c r="E97" s="6">
        <f>244.78</f>
        <v>244.78</v>
      </c>
      <c r="F97" s="6">
        <f>250</f>
        <v>250</v>
      </c>
      <c r="G97" s="5">
        <f t="shared" si="31"/>
        <v>0.97911999999999999</v>
      </c>
      <c r="H97" s="6">
        <f>244.45</f>
        <v>244.45</v>
      </c>
      <c r="I97" s="6">
        <f>250</f>
        <v>250</v>
      </c>
      <c r="J97" s="5">
        <f t="shared" si="32"/>
        <v>0.9778</v>
      </c>
      <c r="K97" s="6">
        <f>244.24</f>
        <v>244.24</v>
      </c>
      <c r="L97" s="6">
        <f>250</f>
        <v>250</v>
      </c>
      <c r="M97" s="5">
        <f t="shared" si="33"/>
        <v>0.97696000000000005</v>
      </c>
      <c r="N97" s="4"/>
      <c r="O97" s="6">
        <f>250</f>
        <v>250</v>
      </c>
      <c r="P97" s="5">
        <f t="shared" si="34"/>
        <v>0</v>
      </c>
      <c r="Q97" s="4"/>
      <c r="R97" s="6">
        <f>250</f>
        <v>250</v>
      </c>
      <c r="S97" s="5">
        <f t="shared" si="35"/>
        <v>0</v>
      </c>
      <c r="T97" s="4"/>
      <c r="U97" s="6">
        <f>250</f>
        <v>250</v>
      </c>
      <c r="V97" s="5">
        <f t="shared" si="36"/>
        <v>0</v>
      </c>
      <c r="W97" s="4"/>
      <c r="X97" s="6">
        <f>250</f>
        <v>250</v>
      </c>
      <c r="Y97" s="5">
        <f t="shared" si="37"/>
        <v>0</v>
      </c>
      <c r="Z97" s="4"/>
      <c r="AA97" s="6">
        <f>250</f>
        <v>250</v>
      </c>
      <c r="AB97" s="5">
        <f t="shared" si="38"/>
        <v>0</v>
      </c>
      <c r="AC97" s="4"/>
      <c r="AD97" s="6">
        <f>250</f>
        <v>250</v>
      </c>
      <c r="AE97" s="5">
        <f t="shared" si="39"/>
        <v>0</v>
      </c>
      <c r="AF97" s="4"/>
      <c r="AG97" s="6">
        <f>250</f>
        <v>250</v>
      </c>
      <c r="AH97" s="5">
        <f t="shared" si="40"/>
        <v>0</v>
      </c>
      <c r="AI97" s="4"/>
      <c r="AJ97" s="6">
        <f>250</f>
        <v>250</v>
      </c>
      <c r="AK97" s="5">
        <f t="shared" si="41"/>
        <v>0</v>
      </c>
      <c r="AL97" s="6">
        <f t="shared" si="42"/>
        <v>978.37</v>
      </c>
      <c r="AM97" s="6">
        <f t="shared" si="43"/>
        <v>3000</v>
      </c>
      <c r="AN97" s="5">
        <f t="shared" si="44"/>
        <v>0.32612333333333332</v>
      </c>
    </row>
    <row r="98" spans="1:40" x14ac:dyDescent="0.25">
      <c r="A98" s="3" t="s">
        <v>107</v>
      </c>
      <c r="B98" s="6">
        <f>82.02</f>
        <v>82.02</v>
      </c>
      <c r="C98" s="6">
        <f>83.33</f>
        <v>83.33</v>
      </c>
      <c r="D98" s="5">
        <f t="shared" si="30"/>
        <v>0.98427937117484698</v>
      </c>
      <c r="E98" s="6">
        <f>82.08</f>
        <v>82.08</v>
      </c>
      <c r="F98" s="6">
        <f>83.33</f>
        <v>83.33</v>
      </c>
      <c r="G98" s="5">
        <f t="shared" si="31"/>
        <v>0.98499939997599906</v>
      </c>
      <c r="H98" s="6">
        <f>82.08</f>
        <v>82.08</v>
      </c>
      <c r="I98" s="6">
        <f>83.33</f>
        <v>83.33</v>
      </c>
      <c r="J98" s="5">
        <f t="shared" si="32"/>
        <v>0.98499939997599906</v>
      </c>
      <c r="K98" s="6">
        <f>154.93</f>
        <v>154.93</v>
      </c>
      <c r="L98" s="6">
        <f>83.33</f>
        <v>83.33</v>
      </c>
      <c r="M98" s="5">
        <f t="shared" si="33"/>
        <v>1.859234369374775</v>
      </c>
      <c r="N98" s="6"/>
      <c r="O98" s="6">
        <f>83.33</f>
        <v>83.33</v>
      </c>
      <c r="P98" s="5">
        <f t="shared" si="34"/>
        <v>0</v>
      </c>
      <c r="Q98" s="4"/>
      <c r="R98" s="6">
        <f>83.33</f>
        <v>83.33</v>
      </c>
      <c r="S98" s="5">
        <f t="shared" si="35"/>
        <v>0</v>
      </c>
      <c r="T98" s="4"/>
      <c r="U98" s="6">
        <f>83.33</f>
        <v>83.33</v>
      </c>
      <c r="V98" s="5">
        <f t="shared" si="36"/>
        <v>0</v>
      </c>
      <c r="W98" s="4"/>
      <c r="X98" s="6">
        <f>83.33</f>
        <v>83.33</v>
      </c>
      <c r="Y98" s="5">
        <f t="shared" si="37"/>
        <v>0</v>
      </c>
      <c r="Z98" s="4"/>
      <c r="AA98" s="6">
        <f>83.33</f>
        <v>83.33</v>
      </c>
      <c r="AB98" s="5">
        <f t="shared" si="38"/>
        <v>0</v>
      </c>
      <c r="AC98" s="4"/>
      <c r="AD98" s="6">
        <f>83.33</f>
        <v>83.33</v>
      </c>
      <c r="AE98" s="5">
        <f t="shared" si="39"/>
        <v>0</v>
      </c>
      <c r="AF98" s="4"/>
      <c r="AG98" s="6">
        <f>83.33</f>
        <v>83.33</v>
      </c>
      <c r="AH98" s="5">
        <f t="shared" si="40"/>
        <v>0</v>
      </c>
      <c r="AI98" s="4"/>
      <c r="AJ98" s="6">
        <f>83.37</f>
        <v>83.37</v>
      </c>
      <c r="AK98" s="5">
        <f t="shared" si="41"/>
        <v>0</v>
      </c>
      <c r="AL98" s="6">
        <f t="shared" si="42"/>
        <v>401.11</v>
      </c>
      <c r="AM98" s="6">
        <f t="shared" si="43"/>
        <v>1000.0000000000001</v>
      </c>
      <c r="AN98" s="5">
        <f t="shared" si="44"/>
        <v>0.40110999999999997</v>
      </c>
    </row>
    <row r="99" spans="1:40" x14ac:dyDescent="0.25">
      <c r="A99" s="3" t="s">
        <v>108</v>
      </c>
      <c r="B99" s="4"/>
      <c r="C99" s="6">
        <f>0</f>
        <v>0</v>
      </c>
      <c r="D99" s="5" t="str">
        <f t="shared" si="30"/>
        <v/>
      </c>
      <c r="E99" s="4"/>
      <c r="F99" s="6">
        <f>0</f>
        <v>0</v>
      </c>
      <c r="G99" s="5" t="str">
        <f t="shared" si="31"/>
        <v/>
      </c>
      <c r="H99" s="4"/>
      <c r="I99" s="6">
        <f>0</f>
        <v>0</v>
      </c>
      <c r="J99" s="5" t="str">
        <f t="shared" si="32"/>
        <v/>
      </c>
      <c r="K99" s="4"/>
      <c r="L99" s="6">
        <f>0</f>
        <v>0</v>
      </c>
      <c r="M99" s="5" t="str">
        <f t="shared" si="33"/>
        <v/>
      </c>
      <c r="N99" s="4"/>
      <c r="O99" s="6">
        <f>0</f>
        <v>0</v>
      </c>
      <c r="P99" s="5" t="str">
        <f t="shared" si="34"/>
        <v/>
      </c>
      <c r="Q99" s="4"/>
      <c r="R99" s="6">
        <f>0</f>
        <v>0</v>
      </c>
      <c r="S99" s="5" t="str">
        <f t="shared" si="35"/>
        <v/>
      </c>
      <c r="T99" s="4"/>
      <c r="U99" s="6">
        <f>0</f>
        <v>0</v>
      </c>
      <c r="V99" s="5" t="str">
        <f t="shared" si="36"/>
        <v/>
      </c>
      <c r="W99" s="4"/>
      <c r="X99" s="6">
        <f>0</f>
        <v>0</v>
      </c>
      <c r="Y99" s="5" t="str">
        <f t="shared" si="37"/>
        <v/>
      </c>
      <c r="Z99" s="4"/>
      <c r="AA99" s="6">
        <f>0</f>
        <v>0</v>
      </c>
      <c r="AB99" s="5" t="str">
        <f t="shared" si="38"/>
        <v/>
      </c>
      <c r="AC99" s="4"/>
      <c r="AD99" s="6">
        <f>0</f>
        <v>0</v>
      </c>
      <c r="AE99" s="5" t="str">
        <f t="shared" si="39"/>
        <v/>
      </c>
      <c r="AF99" s="4"/>
      <c r="AG99" s="6">
        <f>0</f>
        <v>0</v>
      </c>
      <c r="AH99" s="5" t="str">
        <f t="shared" si="40"/>
        <v/>
      </c>
      <c r="AI99" s="4"/>
      <c r="AJ99" s="6">
        <f>0</f>
        <v>0</v>
      </c>
      <c r="AK99" s="5" t="str">
        <f t="shared" si="41"/>
        <v/>
      </c>
      <c r="AL99" s="6">
        <f t="shared" si="42"/>
        <v>0</v>
      </c>
      <c r="AM99" s="6">
        <f t="shared" si="43"/>
        <v>0</v>
      </c>
      <c r="AN99" s="5" t="str">
        <f t="shared" si="44"/>
        <v/>
      </c>
    </row>
    <row r="100" spans="1:40" x14ac:dyDescent="0.25">
      <c r="A100" s="3" t="s">
        <v>109</v>
      </c>
      <c r="B100" s="4"/>
      <c r="C100" s="6">
        <f>0</f>
        <v>0</v>
      </c>
      <c r="D100" s="5" t="str">
        <f t="shared" si="30"/>
        <v/>
      </c>
      <c r="E100" s="4"/>
      <c r="F100" s="6">
        <f>0</f>
        <v>0</v>
      </c>
      <c r="G100" s="5" t="str">
        <f t="shared" si="31"/>
        <v/>
      </c>
      <c r="H100" s="4"/>
      <c r="I100" s="6">
        <f>0</f>
        <v>0</v>
      </c>
      <c r="J100" s="5" t="str">
        <f t="shared" si="32"/>
        <v/>
      </c>
      <c r="K100" s="4"/>
      <c r="L100" s="6">
        <f>0</f>
        <v>0</v>
      </c>
      <c r="M100" s="5" t="str">
        <f t="shared" si="33"/>
        <v/>
      </c>
      <c r="N100" s="4"/>
      <c r="O100" s="6">
        <f>0</f>
        <v>0</v>
      </c>
      <c r="P100" s="5" t="str">
        <f t="shared" si="34"/>
        <v/>
      </c>
      <c r="Q100" s="4"/>
      <c r="R100" s="6">
        <f>0</f>
        <v>0</v>
      </c>
      <c r="S100" s="5" t="str">
        <f t="shared" si="35"/>
        <v/>
      </c>
      <c r="T100" s="4"/>
      <c r="U100" s="6">
        <f>0</f>
        <v>0</v>
      </c>
      <c r="V100" s="5" t="str">
        <f t="shared" si="36"/>
        <v/>
      </c>
      <c r="W100" s="4"/>
      <c r="X100" s="6">
        <f>0</f>
        <v>0</v>
      </c>
      <c r="Y100" s="5" t="str">
        <f t="shared" si="37"/>
        <v/>
      </c>
      <c r="Z100" s="4"/>
      <c r="AA100" s="6">
        <f>0</f>
        <v>0</v>
      </c>
      <c r="AB100" s="5" t="str">
        <f t="shared" si="38"/>
        <v/>
      </c>
      <c r="AC100" s="4"/>
      <c r="AD100" s="6">
        <f>0</f>
        <v>0</v>
      </c>
      <c r="AE100" s="5" t="str">
        <f t="shared" si="39"/>
        <v/>
      </c>
      <c r="AF100" s="4"/>
      <c r="AG100" s="6">
        <f>0</f>
        <v>0</v>
      </c>
      <c r="AH100" s="5" t="str">
        <f t="shared" si="40"/>
        <v/>
      </c>
      <c r="AI100" s="4"/>
      <c r="AJ100" s="6">
        <f>0</f>
        <v>0</v>
      </c>
      <c r="AK100" s="5" t="str">
        <f t="shared" si="41"/>
        <v/>
      </c>
      <c r="AL100" s="6">
        <f t="shared" si="42"/>
        <v>0</v>
      </c>
      <c r="AM100" s="6">
        <f t="shared" si="43"/>
        <v>0</v>
      </c>
      <c r="AN100" s="5" t="str">
        <f t="shared" si="44"/>
        <v/>
      </c>
    </row>
    <row r="101" spans="1:40" x14ac:dyDescent="0.25">
      <c r="A101" s="3" t="s">
        <v>110</v>
      </c>
      <c r="B101" s="7">
        <f>((((B96)+(B97))+(B98))+(B99))+(B100)</f>
        <v>326.92</v>
      </c>
      <c r="C101" s="7">
        <f>((((C96)+(C97))+(C98))+(C99))+(C100)</f>
        <v>333.33</v>
      </c>
      <c r="D101" s="8">
        <f t="shared" si="30"/>
        <v>0.98076980769807709</v>
      </c>
      <c r="E101" s="7">
        <f>((((E96)+(E97))+(E98))+(E99))+(E100)</f>
        <v>326.86</v>
      </c>
      <c r="F101" s="7">
        <f>((((F96)+(F97))+(F98))+(F99))+(F100)</f>
        <v>333.33</v>
      </c>
      <c r="G101" s="8">
        <f t="shared" si="31"/>
        <v>0.98058980589805911</v>
      </c>
      <c r="H101" s="7">
        <f>((((H96)+(H97))+(H98))+(H99))+(H100)</f>
        <v>326.52999999999997</v>
      </c>
      <c r="I101" s="7">
        <f>((((I96)+(I97))+(I98))+(I99))+(I100)</f>
        <v>333.33</v>
      </c>
      <c r="J101" s="8">
        <f t="shared" si="32"/>
        <v>0.97959979599795999</v>
      </c>
      <c r="K101" s="7">
        <f>((((K96)+(K97))+(K98))+(K99))+(K100)</f>
        <v>399.17</v>
      </c>
      <c r="L101" s="7">
        <f>((((L96)+(L97))+(L98))+(L99))+(L100)</f>
        <v>333.33</v>
      </c>
      <c r="M101" s="8">
        <f t="shared" si="33"/>
        <v>1.1975219752197523</v>
      </c>
      <c r="N101" s="7">
        <f>((((N96)+(N97))+(N98))+(N99))+(N100)</f>
        <v>0</v>
      </c>
      <c r="O101" s="7">
        <f>((((O96)+(O97))+(O98))+(O99))+(O100)</f>
        <v>333.33</v>
      </c>
      <c r="P101" s="8">
        <f t="shared" si="34"/>
        <v>0</v>
      </c>
      <c r="Q101" s="7">
        <f>((((Q96)+(Q97))+(Q98))+(Q99))+(Q100)</f>
        <v>0</v>
      </c>
      <c r="R101" s="7">
        <f>((((R96)+(R97))+(R98))+(R99))+(R100)</f>
        <v>333.33</v>
      </c>
      <c r="S101" s="8">
        <f t="shared" si="35"/>
        <v>0</v>
      </c>
      <c r="T101" s="7">
        <f>((((T96)+(T97))+(T98))+(T99))+(T100)</f>
        <v>0</v>
      </c>
      <c r="U101" s="7">
        <f>((((U96)+(U97))+(U98))+(U99))+(U100)</f>
        <v>333.33</v>
      </c>
      <c r="V101" s="8">
        <f t="shared" si="36"/>
        <v>0</v>
      </c>
      <c r="W101" s="7">
        <f>((((W96)+(W97))+(W98))+(W99))+(W100)</f>
        <v>0</v>
      </c>
      <c r="X101" s="7">
        <f>((((X96)+(X97))+(X98))+(X99))+(X100)</f>
        <v>333.33</v>
      </c>
      <c r="Y101" s="8">
        <f t="shared" si="37"/>
        <v>0</v>
      </c>
      <c r="Z101" s="7">
        <f>((((Z96)+(Z97))+(Z98))+(Z99))+(Z100)</f>
        <v>0</v>
      </c>
      <c r="AA101" s="7">
        <f>((((AA96)+(AA97))+(AA98))+(AA99))+(AA100)</f>
        <v>333.33</v>
      </c>
      <c r="AB101" s="8">
        <f t="shared" si="38"/>
        <v>0</v>
      </c>
      <c r="AC101" s="7">
        <f>((((AC96)+(AC97))+(AC98))+(AC99))+(AC100)</f>
        <v>0</v>
      </c>
      <c r="AD101" s="7">
        <f>((((AD96)+(AD97))+(AD98))+(AD99))+(AD100)</f>
        <v>333.33</v>
      </c>
      <c r="AE101" s="8">
        <f t="shared" si="39"/>
        <v>0</v>
      </c>
      <c r="AF101" s="7">
        <f>((((AF96)+(AF97))+(AF98))+(AF99))+(AF100)</f>
        <v>0</v>
      </c>
      <c r="AG101" s="7">
        <f>((((AG96)+(AG97))+(AG98))+(AG99))+(AG100)</f>
        <v>333.33</v>
      </c>
      <c r="AH101" s="8">
        <f t="shared" si="40"/>
        <v>0</v>
      </c>
      <c r="AI101" s="7">
        <f>((((AI96)+(AI97))+(AI98))+(AI99))+(AI100)</f>
        <v>0</v>
      </c>
      <c r="AJ101" s="7">
        <f>((((AJ96)+(AJ97))+(AJ98))+(AJ99))+(AJ100)</f>
        <v>333.37</v>
      </c>
      <c r="AK101" s="8">
        <f t="shared" si="41"/>
        <v>0</v>
      </c>
      <c r="AL101" s="7">
        <f t="shared" si="42"/>
        <v>1379.48</v>
      </c>
      <c r="AM101" s="7">
        <f t="shared" si="43"/>
        <v>3999.9999999999995</v>
      </c>
      <c r="AN101" s="8">
        <f t="shared" si="44"/>
        <v>0.34487000000000007</v>
      </c>
    </row>
    <row r="102" spans="1:40" x14ac:dyDescent="0.25">
      <c r="A102" s="3" t="s">
        <v>111</v>
      </c>
      <c r="B102" s="6">
        <f>14.02</f>
        <v>14.02</v>
      </c>
      <c r="C102" s="6">
        <f>50</f>
        <v>50</v>
      </c>
      <c r="D102" s="5">
        <f t="shared" si="30"/>
        <v>0.28039999999999998</v>
      </c>
      <c r="E102" s="6">
        <f>51.4</f>
        <v>51.4</v>
      </c>
      <c r="F102" s="6">
        <f>50</f>
        <v>50</v>
      </c>
      <c r="G102" s="5">
        <f t="shared" si="31"/>
        <v>1.028</v>
      </c>
      <c r="H102" s="6">
        <f>95.19</f>
        <v>95.19</v>
      </c>
      <c r="I102" s="6">
        <f>50</f>
        <v>50</v>
      </c>
      <c r="J102" s="5">
        <f t="shared" si="32"/>
        <v>1.9037999999999999</v>
      </c>
      <c r="K102" s="6">
        <f>5.39</f>
        <v>5.39</v>
      </c>
      <c r="L102" s="6">
        <f>50</f>
        <v>50</v>
      </c>
      <c r="M102" s="5">
        <f t="shared" si="33"/>
        <v>0.10779999999999999</v>
      </c>
      <c r="N102" s="4"/>
      <c r="O102" s="6">
        <f>50</f>
        <v>50</v>
      </c>
      <c r="P102" s="5">
        <f t="shared" si="34"/>
        <v>0</v>
      </c>
      <c r="Q102" s="4"/>
      <c r="R102" s="6">
        <f>50</f>
        <v>50</v>
      </c>
      <c r="S102" s="5">
        <f t="shared" si="35"/>
        <v>0</v>
      </c>
      <c r="T102" s="4"/>
      <c r="U102" s="6">
        <f>50</f>
        <v>50</v>
      </c>
      <c r="V102" s="5">
        <f t="shared" si="36"/>
        <v>0</v>
      </c>
      <c r="W102" s="4"/>
      <c r="X102" s="6">
        <f>50</f>
        <v>50</v>
      </c>
      <c r="Y102" s="5">
        <f t="shared" si="37"/>
        <v>0</v>
      </c>
      <c r="Z102" s="4"/>
      <c r="AA102" s="6">
        <f>50</f>
        <v>50</v>
      </c>
      <c r="AB102" s="5">
        <f t="shared" si="38"/>
        <v>0</v>
      </c>
      <c r="AC102" s="4"/>
      <c r="AD102" s="6">
        <f>50</f>
        <v>50</v>
      </c>
      <c r="AE102" s="5">
        <f t="shared" si="39"/>
        <v>0</v>
      </c>
      <c r="AF102" s="4"/>
      <c r="AG102" s="6">
        <f>50</f>
        <v>50</v>
      </c>
      <c r="AH102" s="5">
        <f t="shared" si="40"/>
        <v>0</v>
      </c>
      <c r="AI102" s="4"/>
      <c r="AJ102" s="6">
        <f>50</f>
        <v>50</v>
      </c>
      <c r="AK102" s="5">
        <f t="shared" si="41"/>
        <v>0</v>
      </c>
      <c r="AL102" s="6">
        <f t="shared" si="42"/>
        <v>166</v>
      </c>
      <c r="AM102" s="6">
        <f t="shared" si="43"/>
        <v>600</v>
      </c>
      <c r="AN102" s="5">
        <f t="shared" si="44"/>
        <v>0.27666666666666667</v>
      </c>
    </row>
    <row r="103" spans="1:40" x14ac:dyDescent="0.25">
      <c r="A103" s="3" t="s">
        <v>112</v>
      </c>
      <c r="B103" s="4"/>
      <c r="C103" s="6">
        <f>58.33</f>
        <v>58.33</v>
      </c>
      <c r="D103" s="5">
        <f t="shared" ref="D103:D134" si="45">IF(C103=0,"",(B103)/(C103))</f>
        <v>0</v>
      </c>
      <c r="E103" s="4"/>
      <c r="F103" s="6">
        <f>58.33</f>
        <v>58.33</v>
      </c>
      <c r="G103" s="5">
        <f t="shared" ref="G103:G134" si="46">IF(F103=0,"",(E103)/(F103))</f>
        <v>0</v>
      </c>
      <c r="H103" s="4"/>
      <c r="I103" s="6">
        <f>58.33</f>
        <v>58.33</v>
      </c>
      <c r="J103" s="5">
        <f t="shared" ref="J103:J134" si="47">IF(I103=0,"",(H103)/(I103))</f>
        <v>0</v>
      </c>
      <c r="K103" s="4"/>
      <c r="L103" s="6">
        <f>58.33</f>
        <v>58.33</v>
      </c>
      <c r="M103" s="5">
        <f t="shared" ref="M103:M134" si="48">IF(L103=0,"",(K103)/(L103))</f>
        <v>0</v>
      </c>
      <c r="N103" s="4"/>
      <c r="O103" s="6">
        <f>58.33</f>
        <v>58.33</v>
      </c>
      <c r="P103" s="5">
        <f t="shared" ref="P103:P134" si="49">IF(O103=0,"",(N103)/(O103))</f>
        <v>0</v>
      </c>
      <c r="Q103" s="4"/>
      <c r="R103" s="6">
        <f>58.33</f>
        <v>58.33</v>
      </c>
      <c r="S103" s="5">
        <f t="shared" ref="S103:S134" si="50">IF(R103=0,"",(Q103)/(R103))</f>
        <v>0</v>
      </c>
      <c r="T103" s="4"/>
      <c r="U103" s="6">
        <f>58.33</f>
        <v>58.33</v>
      </c>
      <c r="V103" s="5">
        <f t="shared" ref="V103:V134" si="51">IF(U103=0,"",(T103)/(U103))</f>
        <v>0</v>
      </c>
      <c r="W103" s="4"/>
      <c r="X103" s="6">
        <f>58.33</f>
        <v>58.33</v>
      </c>
      <c r="Y103" s="5">
        <f t="shared" ref="Y103:Y134" si="52">IF(X103=0,"",(W103)/(X103))</f>
        <v>0</v>
      </c>
      <c r="Z103" s="4"/>
      <c r="AA103" s="6">
        <f>58.33</f>
        <v>58.33</v>
      </c>
      <c r="AB103" s="5">
        <f t="shared" ref="AB103:AB134" si="53">IF(AA103=0,"",(Z103)/(AA103))</f>
        <v>0</v>
      </c>
      <c r="AC103" s="4"/>
      <c r="AD103" s="6">
        <f>58.33</f>
        <v>58.33</v>
      </c>
      <c r="AE103" s="5">
        <f t="shared" ref="AE103:AE134" si="54">IF(AD103=0,"",(AC103)/(AD103))</f>
        <v>0</v>
      </c>
      <c r="AF103" s="4"/>
      <c r="AG103" s="6">
        <f>58.33</f>
        <v>58.33</v>
      </c>
      <c r="AH103" s="5">
        <f t="shared" ref="AH103:AH134" si="55">IF(AG103=0,"",(AF103)/(AG103))</f>
        <v>0</v>
      </c>
      <c r="AI103" s="4"/>
      <c r="AJ103" s="6">
        <f>58.37</f>
        <v>58.37</v>
      </c>
      <c r="AK103" s="5">
        <f t="shared" ref="AK103:AK134" si="56">IF(AJ103=0,"",(AI103)/(AJ103))</f>
        <v>0</v>
      </c>
      <c r="AL103" s="6">
        <f t="shared" ref="AL103:AL136" si="57">(((((((((((B103)+(E103))+(H103))+(K103))+(N103))+(Q103))+(T103))+(W103))+(Z103))+(AC103))+(AF103))+(AI103)</f>
        <v>0</v>
      </c>
      <c r="AM103" s="6">
        <f t="shared" ref="AM103:AM136" si="58">(((((((((((C103)+(F103))+(I103))+(L103))+(O103))+(R103))+(U103))+(X103))+(AA103))+(AD103))+(AG103))+(AJ103)</f>
        <v>700</v>
      </c>
      <c r="AN103" s="5">
        <f t="shared" ref="AN103:AN134" si="59">IF(AM103=0,"",(AL103)/(AM103))</f>
        <v>0</v>
      </c>
    </row>
    <row r="104" spans="1:40" x14ac:dyDescent="0.25">
      <c r="A104" s="3" t="s">
        <v>113</v>
      </c>
      <c r="B104" s="4"/>
      <c r="C104" s="6">
        <f>25</f>
        <v>25</v>
      </c>
      <c r="D104" s="5">
        <f t="shared" si="45"/>
        <v>0</v>
      </c>
      <c r="E104" s="4"/>
      <c r="F104" s="6">
        <f>25</f>
        <v>25</v>
      </c>
      <c r="G104" s="5">
        <f t="shared" si="46"/>
        <v>0</v>
      </c>
      <c r="H104" s="4"/>
      <c r="I104" s="6">
        <f>25</f>
        <v>25</v>
      </c>
      <c r="J104" s="5">
        <f t="shared" si="47"/>
        <v>0</v>
      </c>
      <c r="K104" s="4"/>
      <c r="L104" s="6">
        <f>25</f>
        <v>25</v>
      </c>
      <c r="M104" s="5">
        <f t="shared" si="48"/>
        <v>0</v>
      </c>
      <c r="N104" s="4"/>
      <c r="O104" s="6">
        <f>25</f>
        <v>25</v>
      </c>
      <c r="P104" s="5">
        <f t="shared" si="49"/>
        <v>0</v>
      </c>
      <c r="Q104" s="4"/>
      <c r="R104" s="6">
        <f>25</f>
        <v>25</v>
      </c>
      <c r="S104" s="5">
        <f t="shared" si="50"/>
        <v>0</v>
      </c>
      <c r="T104" s="4"/>
      <c r="U104" s="6">
        <f>25</f>
        <v>25</v>
      </c>
      <c r="V104" s="5">
        <f t="shared" si="51"/>
        <v>0</v>
      </c>
      <c r="W104" s="4"/>
      <c r="X104" s="6">
        <f>25</f>
        <v>25</v>
      </c>
      <c r="Y104" s="5">
        <f t="shared" si="52"/>
        <v>0</v>
      </c>
      <c r="Z104" s="4"/>
      <c r="AA104" s="6">
        <f>25</f>
        <v>25</v>
      </c>
      <c r="AB104" s="5">
        <f t="shared" si="53"/>
        <v>0</v>
      </c>
      <c r="AC104" s="4"/>
      <c r="AD104" s="6">
        <f>25</f>
        <v>25</v>
      </c>
      <c r="AE104" s="5">
        <f t="shared" si="54"/>
        <v>0</v>
      </c>
      <c r="AF104" s="4"/>
      <c r="AG104" s="6">
        <f>25</f>
        <v>25</v>
      </c>
      <c r="AH104" s="5">
        <f t="shared" si="55"/>
        <v>0</v>
      </c>
      <c r="AI104" s="4"/>
      <c r="AJ104" s="6">
        <f>25</f>
        <v>25</v>
      </c>
      <c r="AK104" s="5">
        <f t="shared" si="56"/>
        <v>0</v>
      </c>
      <c r="AL104" s="6">
        <f t="shared" si="57"/>
        <v>0</v>
      </c>
      <c r="AM104" s="6">
        <f t="shared" si="58"/>
        <v>300</v>
      </c>
      <c r="AN104" s="5">
        <f t="shared" si="59"/>
        <v>0</v>
      </c>
    </row>
    <row r="105" spans="1:40" x14ac:dyDescent="0.25">
      <c r="A105" s="3" t="s">
        <v>114</v>
      </c>
      <c r="B105" s="4"/>
      <c r="C105" s="6">
        <f>25</f>
        <v>25</v>
      </c>
      <c r="D105" s="5">
        <f t="shared" si="45"/>
        <v>0</v>
      </c>
      <c r="E105" s="4"/>
      <c r="F105" s="6">
        <f>25</f>
        <v>25</v>
      </c>
      <c r="G105" s="5">
        <f t="shared" si="46"/>
        <v>0</v>
      </c>
      <c r="H105" s="4"/>
      <c r="I105" s="6">
        <f>25</f>
        <v>25</v>
      </c>
      <c r="J105" s="5">
        <f t="shared" si="47"/>
        <v>0</v>
      </c>
      <c r="K105" s="6">
        <f>33.58</f>
        <v>33.58</v>
      </c>
      <c r="L105" s="6">
        <f>25</f>
        <v>25</v>
      </c>
      <c r="M105" s="5">
        <f t="shared" si="48"/>
        <v>1.3431999999999999</v>
      </c>
      <c r="N105" s="4"/>
      <c r="O105" s="6">
        <f>25</f>
        <v>25</v>
      </c>
      <c r="P105" s="5">
        <f t="shared" si="49"/>
        <v>0</v>
      </c>
      <c r="Q105" s="4"/>
      <c r="R105" s="6">
        <f>25</f>
        <v>25</v>
      </c>
      <c r="S105" s="5">
        <f t="shared" si="50"/>
        <v>0</v>
      </c>
      <c r="T105" s="4"/>
      <c r="U105" s="6">
        <f>25</f>
        <v>25</v>
      </c>
      <c r="V105" s="5">
        <f t="shared" si="51"/>
        <v>0</v>
      </c>
      <c r="W105" s="4"/>
      <c r="X105" s="6">
        <f>25</f>
        <v>25</v>
      </c>
      <c r="Y105" s="5">
        <f t="shared" si="52"/>
        <v>0</v>
      </c>
      <c r="Z105" s="4"/>
      <c r="AA105" s="6">
        <f>25</f>
        <v>25</v>
      </c>
      <c r="AB105" s="5">
        <f t="shared" si="53"/>
        <v>0</v>
      </c>
      <c r="AC105" s="4"/>
      <c r="AD105" s="6">
        <f>25</f>
        <v>25</v>
      </c>
      <c r="AE105" s="5">
        <f t="shared" si="54"/>
        <v>0</v>
      </c>
      <c r="AF105" s="4"/>
      <c r="AG105" s="6">
        <f>25</f>
        <v>25</v>
      </c>
      <c r="AH105" s="5">
        <f t="shared" si="55"/>
        <v>0</v>
      </c>
      <c r="AI105" s="4"/>
      <c r="AJ105" s="6">
        <f>25</f>
        <v>25</v>
      </c>
      <c r="AK105" s="5">
        <f t="shared" si="56"/>
        <v>0</v>
      </c>
      <c r="AL105" s="6">
        <f t="shared" si="57"/>
        <v>33.58</v>
      </c>
      <c r="AM105" s="6">
        <f t="shared" si="58"/>
        <v>300</v>
      </c>
      <c r="AN105" s="5">
        <f t="shared" si="59"/>
        <v>0.11193333333333333</v>
      </c>
    </row>
    <row r="106" spans="1:40" x14ac:dyDescent="0.25">
      <c r="A106" s="3" t="s">
        <v>115</v>
      </c>
      <c r="B106" s="4"/>
      <c r="C106" s="6">
        <f>41.67</f>
        <v>41.67</v>
      </c>
      <c r="D106" s="5">
        <f t="shared" si="45"/>
        <v>0</v>
      </c>
      <c r="E106" s="4"/>
      <c r="F106" s="6">
        <f>41.67</f>
        <v>41.67</v>
      </c>
      <c r="G106" s="5">
        <f t="shared" si="46"/>
        <v>0</v>
      </c>
      <c r="H106" s="6">
        <f>152.76</f>
        <v>152.76</v>
      </c>
      <c r="I106" s="6">
        <f>41.67</f>
        <v>41.67</v>
      </c>
      <c r="J106" s="5">
        <f t="shared" si="47"/>
        <v>3.6659467242620587</v>
      </c>
      <c r="K106" s="4"/>
      <c r="L106" s="6">
        <f>41.67</f>
        <v>41.67</v>
      </c>
      <c r="M106" s="5">
        <f t="shared" si="48"/>
        <v>0</v>
      </c>
      <c r="N106" s="6"/>
      <c r="O106" s="6">
        <f>41.67</f>
        <v>41.67</v>
      </c>
      <c r="P106" s="5">
        <f t="shared" si="49"/>
        <v>0</v>
      </c>
      <c r="Q106" s="4"/>
      <c r="R106" s="6">
        <f>41.67</f>
        <v>41.67</v>
      </c>
      <c r="S106" s="5">
        <f t="shared" si="50"/>
        <v>0</v>
      </c>
      <c r="T106" s="4"/>
      <c r="U106" s="6">
        <f>41.67</f>
        <v>41.67</v>
      </c>
      <c r="V106" s="5">
        <f t="shared" si="51"/>
        <v>0</v>
      </c>
      <c r="W106" s="4"/>
      <c r="X106" s="6">
        <f>41.67</f>
        <v>41.67</v>
      </c>
      <c r="Y106" s="5">
        <f t="shared" si="52"/>
        <v>0</v>
      </c>
      <c r="Z106" s="4"/>
      <c r="AA106" s="6">
        <f>41.67</f>
        <v>41.67</v>
      </c>
      <c r="AB106" s="5">
        <f t="shared" si="53"/>
        <v>0</v>
      </c>
      <c r="AC106" s="4"/>
      <c r="AD106" s="6">
        <f>41.67</f>
        <v>41.67</v>
      </c>
      <c r="AE106" s="5">
        <f t="shared" si="54"/>
        <v>0</v>
      </c>
      <c r="AF106" s="4"/>
      <c r="AG106" s="6">
        <f>41.67</f>
        <v>41.67</v>
      </c>
      <c r="AH106" s="5">
        <f t="shared" si="55"/>
        <v>0</v>
      </c>
      <c r="AI106" s="4"/>
      <c r="AJ106" s="6">
        <f>41.63</f>
        <v>41.63</v>
      </c>
      <c r="AK106" s="5">
        <f t="shared" si="56"/>
        <v>0</v>
      </c>
      <c r="AL106" s="6">
        <f t="shared" si="57"/>
        <v>152.76</v>
      </c>
      <c r="AM106" s="6">
        <f t="shared" si="58"/>
        <v>500.00000000000011</v>
      </c>
      <c r="AN106" s="5">
        <f t="shared" si="59"/>
        <v>0.3055199999999999</v>
      </c>
    </row>
    <row r="107" spans="1:40" x14ac:dyDescent="0.25">
      <c r="A107" s="3" t="s">
        <v>116</v>
      </c>
      <c r="B107" s="4"/>
      <c r="C107" s="6">
        <f>416.92</f>
        <v>416.92</v>
      </c>
      <c r="D107" s="5">
        <f t="shared" si="45"/>
        <v>0</v>
      </c>
      <c r="E107" s="4"/>
      <c r="F107" s="6">
        <f>416.92</f>
        <v>416.92</v>
      </c>
      <c r="G107" s="5">
        <f t="shared" si="46"/>
        <v>0</v>
      </c>
      <c r="H107" s="4"/>
      <c r="I107" s="6">
        <f>416.92</f>
        <v>416.92</v>
      </c>
      <c r="J107" s="5">
        <f t="shared" si="47"/>
        <v>0</v>
      </c>
      <c r="K107" s="6">
        <f>1059.56</f>
        <v>1059.56</v>
      </c>
      <c r="L107" s="6">
        <f>416.92</f>
        <v>416.92</v>
      </c>
      <c r="M107" s="5">
        <f t="shared" si="48"/>
        <v>2.5413988295116567</v>
      </c>
      <c r="N107" s="4"/>
      <c r="O107" s="6">
        <f>416.92</f>
        <v>416.92</v>
      </c>
      <c r="P107" s="5">
        <f t="shared" si="49"/>
        <v>0</v>
      </c>
      <c r="Q107" s="4"/>
      <c r="R107" s="6">
        <f>416.92</f>
        <v>416.92</v>
      </c>
      <c r="S107" s="5">
        <f t="shared" si="50"/>
        <v>0</v>
      </c>
      <c r="T107" s="4"/>
      <c r="U107" s="6">
        <f>416.92</f>
        <v>416.92</v>
      </c>
      <c r="V107" s="5">
        <f t="shared" si="51"/>
        <v>0</v>
      </c>
      <c r="W107" s="4"/>
      <c r="X107" s="6">
        <f>416.92</f>
        <v>416.92</v>
      </c>
      <c r="Y107" s="5">
        <f t="shared" si="52"/>
        <v>0</v>
      </c>
      <c r="Z107" s="4"/>
      <c r="AA107" s="6">
        <f>416.92</f>
        <v>416.92</v>
      </c>
      <c r="AB107" s="5">
        <f t="shared" si="53"/>
        <v>0</v>
      </c>
      <c r="AC107" s="4"/>
      <c r="AD107" s="6">
        <f>416.92</f>
        <v>416.92</v>
      </c>
      <c r="AE107" s="5">
        <f t="shared" si="54"/>
        <v>0</v>
      </c>
      <c r="AF107" s="4"/>
      <c r="AG107" s="6">
        <f>416.92</f>
        <v>416.92</v>
      </c>
      <c r="AH107" s="5">
        <f t="shared" si="55"/>
        <v>0</v>
      </c>
      <c r="AI107" s="4"/>
      <c r="AJ107" s="6">
        <f>416.88</f>
        <v>416.88</v>
      </c>
      <c r="AK107" s="5">
        <f t="shared" si="56"/>
        <v>0</v>
      </c>
      <c r="AL107" s="6">
        <f t="shared" si="57"/>
        <v>1059.56</v>
      </c>
      <c r="AM107" s="6">
        <f t="shared" si="58"/>
        <v>5003</v>
      </c>
      <c r="AN107" s="5">
        <f t="shared" si="59"/>
        <v>0.21178492904257445</v>
      </c>
    </row>
    <row r="108" spans="1:40" x14ac:dyDescent="0.25">
      <c r="A108" s="3" t="s">
        <v>117</v>
      </c>
      <c r="B108" s="4"/>
      <c r="C108" s="6">
        <f>166.92</f>
        <v>166.92</v>
      </c>
      <c r="D108" s="5">
        <f t="shared" si="45"/>
        <v>0</v>
      </c>
      <c r="E108" s="4"/>
      <c r="F108" s="6">
        <f>166.92</f>
        <v>166.92</v>
      </c>
      <c r="G108" s="5">
        <f t="shared" si="46"/>
        <v>0</v>
      </c>
      <c r="H108" s="4"/>
      <c r="I108" s="6">
        <f>166.92</f>
        <v>166.92</v>
      </c>
      <c r="J108" s="5">
        <f t="shared" si="47"/>
        <v>0</v>
      </c>
      <c r="K108" s="4"/>
      <c r="L108" s="6">
        <f>166.92</f>
        <v>166.92</v>
      </c>
      <c r="M108" s="5">
        <f t="shared" si="48"/>
        <v>0</v>
      </c>
      <c r="N108" s="4"/>
      <c r="O108" s="6">
        <f>166.92</f>
        <v>166.92</v>
      </c>
      <c r="P108" s="5">
        <f t="shared" si="49"/>
        <v>0</v>
      </c>
      <c r="Q108" s="4"/>
      <c r="R108" s="6">
        <f>166.92</f>
        <v>166.92</v>
      </c>
      <c r="S108" s="5">
        <f t="shared" si="50"/>
        <v>0</v>
      </c>
      <c r="T108" s="4"/>
      <c r="U108" s="6">
        <f>166.92</f>
        <v>166.92</v>
      </c>
      <c r="V108" s="5">
        <f t="shared" si="51"/>
        <v>0</v>
      </c>
      <c r="W108" s="4"/>
      <c r="X108" s="6">
        <f>166.92</f>
        <v>166.92</v>
      </c>
      <c r="Y108" s="5">
        <f t="shared" si="52"/>
        <v>0</v>
      </c>
      <c r="Z108" s="4"/>
      <c r="AA108" s="6">
        <f>166.92</f>
        <v>166.92</v>
      </c>
      <c r="AB108" s="5">
        <f t="shared" si="53"/>
        <v>0</v>
      </c>
      <c r="AC108" s="4"/>
      <c r="AD108" s="6">
        <f>166.92</f>
        <v>166.92</v>
      </c>
      <c r="AE108" s="5">
        <f t="shared" si="54"/>
        <v>0</v>
      </c>
      <c r="AF108" s="4"/>
      <c r="AG108" s="6">
        <f>166.92</f>
        <v>166.92</v>
      </c>
      <c r="AH108" s="5">
        <f t="shared" si="55"/>
        <v>0</v>
      </c>
      <c r="AI108" s="4"/>
      <c r="AJ108" s="6">
        <f>166.88</f>
        <v>166.88</v>
      </c>
      <c r="AK108" s="5">
        <f t="shared" si="56"/>
        <v>0</v>
      </c>
      <c r="AL108" s="6">
        <f t="shared" si="57"/>
        <v>0</v>
      </c>
      <c r="AM108" s="6">
        <f t="shared" si="58"/>
        <v>2003</v>
      </c>
      <c r="AN108" s="5">
        <f t="shared" si="59"/>
        <v>0</v>
      </c>
    </row>
    <row r="109" spans="1:40" x14ac:dyDescent="0.25">
      <c r="A109" s="3" t="s">
        <v>118</v>
      </c>
      <c r="B109" s="4"/>
      <c r="C109" s="6">
        <f>166.92</f>
        <v>166.92</v>
      </c>
      <c r="D109" s="5">
        <f t="shared" si="45"/>
        <v>0</v>
      </c>
      <c r="E109" s="4"/>
      <c r="F109" s="6">
        <f>166.92</f>
        <v>166.92</v>
      </c>
      <c r="G109" s="5">
        <f t="shared" si="46"/>
        <v>0</v>
      </c>
      <c r="H109" s="4"/>
      <c r="I109" s="6">
        <f>166.92</f>
        <v>166.92</v>
      </c>
      <c r="J109" s="5">
        <f t="shared" si="47"/>
        <v>0</v>
      </c>
      <c r="K109" s="4"/>
      <c r="L109" s="6">
        <f>166.92</f>
        <v>166.92</v>
      </c>
      <c r="M109" s="5">
        <f t="shared" si="48"/>
        <v>0</v>
      </c>
      <c r="N109" s="4"/>
      <c r="O109" s="6">
        <f>166.92</f>
        <v>166.92</v>
      </c>
      <c r="P109" s="5">
        <f t="shared" si="49"/>
        <v>0</v>
      </c>
      <c r="Q109" s="4"/>
      <c r="R109" s="6">
        <f>166.92</f>
        <v>166.92</v>
      </c>
      <c r="S109" s="5">
        <f t="shared" si="50"/>
        <v>0</v>
      </c>
      <c r="T109" s="4"/>
      <c r="U109" s="6">
        <f>166.92</f>
        <v>166.92</v>
      </c>
      <c r="V109" s="5">
        <f t="shared" si="51"/>
        <v>0</v>
      </c>
      <c r="W109" s="4"/>
      <c r="X109" s="6">
        <f>166.92</f>
        <v>166.92</v>
      </c>
      <c r="Y109" s="5">
        <f t="shared" si="52"/>
        <v>0</v>
      </c>
      <c r="Z109" s="4"/>
      <c r="AA109" s="6">
        <f>166.92</f>
        <v>166.92</v>
      </c>
      <c r="AB109" s="5">
        <f t="shared" si="53"/>
        <v>0</v>
      </c>
      <c r="AC109" s="4"/>
      <c r="AD109" s="6">
        <f>166.92</f>
        <v>166.92</v>
      </c>
      <c r="AE109" s="5">
        <f t="shared" si="54"/>
        <v>0</v>
      </c>
      <c r="AF109" s="4"/>
      <c r="AG109" s="6">
        <f>166.92</f>
        <v>166.92</v>
      </c>
      <c r="AH109" s="5">
        <f t="shared" si="55"/>
        <v>0</v>
      </c>
      <c r="AI109" s="4"/>
      <c r="AJ109" s="6">
        <f>166.88</f>
        <v>166.88</v>
      </c>
      <c r="AK109" s="5">
        <f t="shared" si="56"/>
        <v>0</v>
      </c>
      <c r="AL109" s="6">
        <f t="shared" si="57"/>
        <v>0</v>
      </c>
      <c r="AM109" s="6">
        <f t="shared" si="58"/>
        <v>2003</v>
      </c>
      <c r="AN109" s="5">
        <f t="shared" si="59"/>
        <v>0</v>
      </c>
    </row>
    <row r="110" spans="1:40" x14ac:dyDescent="0.25">
      <c r="A110" s="3" t="s">
        <v>119</v>
      </c>
      <c r="B110" s="4"/>
      <c r="C110" s="6">
        <f>166.92</f>
        <v>166.92</v>
      </c>
      <c r="D110" s="5">
        <f t="shared" si="45"/>
        <v>0</v>
      </c>
      <c r="E110" s="4"/>
      <c r="F110" s="6">
        <f>166.92</f>
        <v>166.92</v>
      </c>
      <c r="G110" s="5">
        <f t="shared" si="46"/>
        <v>0</v>
      </c>
      <c r="H110" s="4"/>
      <c r="I110" s="6">
        <f>166.92</f>
        <v>166.92</v>
      </c>
      <c r="J110" s="5">
        <f t="shared" si="47"/>
        <v>0</v>
      </c>
      <c r="K110" s="4"/>
      <c r="L110" s="6">
        <f>166.92</f>
        <v>166.92</v>
      </c>
      <c r="M110" s="5">
        <f t="shared" si="48"/>
        <v>0</v>
      </c>
      <c r="N110" s="4"/>
      <c r="O110" s="6">
        <f>166.92</f>
        <v>166.92</v>
      </c>
      <c r="P110" s="5">
        <f t="shared" si="49"/>
        <v>0</v>
      </c>
      <c r="Q110" s="4"/>
      <c r="R110" s="6">
        <f>166.92</f>
        <v>166.92</v>
      </c>
      <c r="S110" s="5">
        <f t="shared" si="50"/>
        <v>0</v>
      </c>
      <c r="T110" s="4"/>
      <c r="U110" s="6">
        <f>166.92</f>
        <v>166.92</v>
      </c>
      <c r="V110" s="5">
        <f t="shared" si="51"/>
        <v>0</v>
      </c>
      <c r="W110" s="4"/>
      <c r="X110" s="6">
        <f>166.92</f>
        <v>166.92</v>
      </c>
      <c r="Y110" s="5">
        <f t="shared" si="52"/>
        <v>0</v>
      </c>
      <c r="Z110" s="4"/>
      <c r="AA110" s="6">
        <f>166.92</f>
        <v>166.92</v>
      </c>
      <c r="AB110" s="5">
        <f t="shared" si="53"/>
        <v>0</v>
      </c>
      <c r="AC110" s="4"/>
      <c r="AD110" s="6">
        <f>166.92</f>
        <v>166.92</v>
      </c>
      <c r="AE110" s="5">
        <f t="shared" si="54"/>
        <v>0</v>
      </c>
      <c r="AF110" s="4"/>
      <c r="AG110" s="6">
        <f>166.92</f>
        <v>166.92</v>
      </c>
      <c r="AH110" s="5">
        <f t="shared" si="55"/>
        <v>0</v>
      </c>
      <c r="AI110" s="4"/>
      <c r="AJ110" s="6">
        <f>166.88</f>
        <v>166.88</v>
      </c>
      <c r="AK110" s="5">
        <f t="shared" si="56"/>
        <v>0</v>
      </c>
      <c r="AL110" s="6">
        <f t="shared" si="57"/>
        <v>0</v>
      </c>
      <c r="AM110" s="6">
        <f t="shared" si="58"/>
        <v>2003</v>
      </c>
      <c r="AN110" s="5">
        <f t="shared" si="59"/>
        <v>0</v>
      </c>
    </row>
    <row r="111" spans="1:40" x14ac:dyDescent="0.25">
      <c r="A111" s="3" t="s">
        <v>120</v>
      </c>
      <c r="B111" s="4"/>
      <c r="C111" s="6">
        <f>66.67</f>
        <v>66.67</v>
      </c>
      <c r="D111" s="5">
        <f t="shared" si="45"/>
        <v>0</v>
      </c>
      <c r="E111" s="4"/>
      <c r="F111" s="6">
        <f>66.67</f>
        <v>66.67</v>
      </c>
      <c r="G111" s="5">
        <f t="shared" si="46"/>
        <v>0</v>
      </c>
      <c r="H111" s="4"/>
      <c r="I111" s="6">
        <f>66.67</f>
        <v>66.67</v>
      </c>
      <c r="J111" s="5">
        <f t="shared" si="47"/>
        <v>0</v>
      </c>
      <c r="K111" s="4"/>
      <c r="L111" s="6">
        <f>66.67</f>
        <v>66.67</v>
      </c>
      <c r="M111" s="5">
        <f t="shared" si="48"/>
        <v>0</v>
      </c>
      <c r="N111" s="4"/>
      <c r="O111" s="6">
        <f>66.67</f>
        <v>66.67</v>
      </c>
      <c r="P111" s="5">
        <f t="shared" si="49"/>
        <v>0</v>
      </c>
      <c r="Q111" s="4"/>
      <c r="R111" s="6">
        <f>66.67</f>
        <v>66.67</v>
      </c>
      <c r="S111" s="5">
        <f t="shared" si="50"/>
        <v>0</v>
      </c>
      <c r="T111" s="4"/>
      <c r="U111" s="6">
        <f>66.67</f>
        <v>66.67</v>
      </c>
      <c r="V111" s="5">
        <f t="shared" si="51"/>
        <v>0</v>
      </c>
      <c r="W111" s="4"/>
      <c r="X111" s="6">
        <f>66.67</f>
        <v>66.67</v>
      </c>
      <c r="Y111" s="5">
        <f t="shared" si="52"/>
        <v>0</v>
      </c>
      <c r="Z111" s="4"/>
      <c r="AA111" s="6">
        <f>66.67</f>
        <v>66.67</v>
      </c>
      <c r="AB111" s="5">
        <f t="shared" si="53"/>
        <v>0</v>
      </c>
      <c r="AC111" s="4"/>
      <c r="AD111" s="6">
        <f>66.67</f>
        <v>66.67</v>
      </c>
      <c r="AE111" s="5">
        <f t="shared" si="54"/>
        <v>0</v>
      </c>
      <c r="AF111" s="4"/>
      <c r="AG111" s="6">
        <f>66.67</f>
        <v>66.67</v>
      </c>
      <c r="AH111" s="5">
        <f t="shared" si="55"/>
        <v>0</v>
      </c>
      <c r="AI111" s="4"/>
      <c r="AJ111" s="6">
        <f>66.63</f>
        <v>66.63</v>
      </c>
      <c r="AK111" s="5">
        <f t="shared" si="56"/>
        <v>0</v>
      </c>
      <c r="AL111" s="6">
        <f t="shared" si="57"/>
        <v>0</v>
      </c>
      <c r="AM111" s="6">
        <f t="shared" si="58"/>
        <v>799.99999999999989</v>
      </c>
      <c r="AN111" s="5">
        <f t="shared" si="59"/>
        <v>0</v>
      </c>
    </row>
    <row r="112" spans="1:40" x14ac:dyDescent="0.25">
      <c r="A112" s="3" t="s">
        <v>121</v>
      </c>
      <c r="B112" s="4"/>
      <c r="C112" s="6">
        <f>241.92</f>
        <v>241.92</v>
      </c>
      <c r="D112" s="5">
        <f t="shared" si="45"/>
        <v>0</v>
      </c>
      <c r="E112" s="4"/>
      <c r="F112" s="6">
        <f>241.92</f>
        <v>241.92</v>
      </c>
      <c r="G112" s="5">
        <f t="shared" si="46"/>
        <v>0</v>
      </c>
      <c r="H112" s="4"/>
      <c r="I112" s="6">
        <f>241.92</f>
        <v>241.92</v>
      </c>
      <c r="J112" s="5">
        <f t="shared" si="47"/>
        <v>0</v>
      </c>
      <c r="K112" s="4"/>
      <c r="L112" s="6">
        <f>241.92</f>
        <v>241.92</v>
      </c>
      <c r="M112" s="5">
        <f t="shared" si="48"/>
        <v>0</v>
      </c>
      <c r="N112" s="4"/>
      <c r="O112" s="6">
        <f>241.92</f>
        <v>241.92</v>
      </c>
      <c r="P112" s="5">
        <f t="shared" si="49"/>
        <v>0</v>
      </c>
      <c r="Q112" s="4"/>
      <c r="R112" s="6">
        <f>241.92</f>
        <v>241.92</v>
      </c>
      <c r="S112" s="5">
        <f t="shared" si="50"/>
        <v>0</v>
      </c>
      <c r="T112" s="4"/>
      <c r="U112" s="6">
        <f>241.92</f>
        <v>241.92</v>
      </c>
      <c r="V112" s="5">
        <f t="shared" si="51"/>
        <v>0</v>
      </c>
      <c r="W112" s="4"/>
      <c r="X112" s="6">
        <f>241.92</f>
        <v>241.92</v>
      </c>
      <c r="Y112" s="5">
        <f t="shared" si="52"/>
        <v>0</v>
      </c>
      <c r="Z112" s="4"/>
      <c r="AA112" s="6">
        <f>241.92</f>
        <v>241.92</v>
      </c>
      <c r="AB112" s="5">
        <f t="shared" si="53"/>
        <v>0</v>
      </c>
      <c r="AC112" s="4"/>
      <c r="AD112" s="6">
        <f>241.92</f>
        <v>241.92</v>
      </c>
      <c r="AE112" s="5">
        <f t="shared" si="54"/>
        <v>0</v>
      </c>
      <c r="AF112" s="4"/>
      <c r="AG112" s="6">
        <f>241.92</f>
        <v>241.92</v>
      </c>
      <c r="AH112" s="5">
        <f t="shared" si="55"/>
        <v>0</v>
      </c>
      <c r="AI112" s="4"/>
      <c r="AJ112" s="6">
        <f>241.88</f>
        <v>241.88</v>
      </c>
      <c r="AK112" s="5">
        <f t="shared" si="56"/>
        <v>0</v>
      </c>
      <c r="AL112" s="6">
        <f t="shared" si="57"/>
        <v>0</v>
      </c>
      <c r="AM112" s="6">
        <f t="shared" si="58"/>
        <v>2903.0000000000005</v>
      </c>
      <c r="AN112" s="5">
        <f t="shared" si="59"/>
        <v>0</v>
      </c>
    </row>
    <row r="113" spans="1:40" x14ac:dyDescent="0.25">
      <c r="A113" s="3" t="s">
        <v>122</v>
      </c>
      <c r="B113" s="4"/>
      <c r="C113" s="6">
        <f>241.92</f>
        <v>241.92</v>
      </c>
      <c r="D113" s="5">
        <f t="shared" si="45"/>
        <v>0</v>
      </c>
      <c r="E113" s="4"/>
      <c r="F113" s="6">
        <f>241.92</f>
        <v>241.92</v>
      </c>
      <c r="G113" s="5">
        <f t="shared" si="46"/>
        <v>0</v>
      </c>
      <c r="H113" s="4"/>
      <c r="I113" s="6">
        <f>241.92</f>
        <v>241.92</v>
      </c>
      <c r="J113" s="5">
        <f t="shared" si="47"/>
        <v>0</v>
      </c>
      <c r="K113" s="4"/>
      <c r="L113" s="6">
        <f>241.92</f>
        <v>241.92</v>
      </c>
      <c r="M113" s="5">
        <f t="shared" si="48"/>
        <v>0</v>
      </c>
      <c r="N113" s="4"/>
      <c r="O113" s="6">
        <f>241.92</f>
        <v>241.92</v>
      </c>
      <c r="P113" s="5">
        <f t="shared" si="49"/>
        <v>0</v>
      </c>
      <c r="Q113" s="4"/>
      <c r="R113" s="6">
        <f>241.92</f>
        <v>241.92</v>
      </c>
      <c r="S113" s="5">
        <f t="shared" si="50"/>
        <v>0</v>
      </c>
      <c r="T113" s="4"/>
      <c r="U113" s="6">
        <f>241.92</f>
        <v>241.92</v>
      </c>
      <c r="V113" s="5">
        <f t="shared" si="51"/>
        <v>0</v>
      </c>
      <c r="W113" s="4"/>
      <c r="X113" s="6">
        <f>241.92</f>
        <v>241.92</v>
      </c>
      <c r="Y113" s="5">
        <f t="shared" si="52"/>
        <v>0</v>
      </c>
      <c r="Z113" s="4"/>
      <c r="AA113" s="6">
        <f>241.92</f>
        <v>241.92</v>
      </c>
      <c r="AB113" s="5">
        <f t="shared" si="53"/>
        <v>0</v>
      </c>
      <c r="AC113" s="4"/>
      <c r="AD113" s="6">
        <f>241.92</f>
        <v>241.92</v>
      </c>
      <c r="AE113" s="5">
        <f t="shared" si="54"/>
        <v>0</v>
      </c>
      <c r="AF113" s="4"/>
      <c r="AG113" s="6">
        <f>241.92</f>
        <v>241.92</v>
      </c>
      <c r="AH113" s="5">
        <f t="shared" si="55"/>
        <v>0</v>
      </c>
      <c r="AI113" s="4"/>
      <c r="AJ113" s="6">
        <f>241.88</f>
        <v>241.88</v>
      </c>
      <c r="AK113" s="5">
        <f t="shared" si="56"/>
        <v>0</v>
      </c>
      <c r="AL113" s="6">
        <f t="shared" si="57"/>
        <v>0</v>
      </c>
      <c r="AM113" s="6">
        <f t="shared" si="58"/>
        <v>2903.0000000000005</v>
      </c>
      <c r="AN113" s="5">
        <f t="shared" si="59"/>
        <v>0</v>
      </c>
    </row>
    <row r="114" spans="1:40" x14ac:dyDescent="0.25">
      <c r="A114" s="3" t="s">
        <v>123</v>
      </c>
      <c r="B114" s="4"/>
      <c r="C114" s="6">
        <f>241.92</f>
        <v>241.92</v>
      </c>
      <c r="D114" s="5">
        <f t="shared" si="45"/>
        <v>0</v>
      </c>
      <c r="E114" s="4"/>
      <c r="F114" s="6">
        <f>241.92</f>
        <v>241.92</v>
      </c>
      <c r="G114" s="5">
        <f t="shared" si="46"/>
        <v>0</v>
      </c>
      <c r="H114" s="4"/>
      <c r="I114" s="6">
        <f>241.92</f>
        <v>241.92</v>
      </c>
      <c r="J114" s="5">
        <f t="shared" si="47"/>
        <v>0</v>
      </c>
      <c r="K114" s="4"/>
      <c r="L114" s="6">
        <f>241.92</f>
        <v>241.92</v>
      </c>
      <c r="M114" s="5">
        <f t="shared" si="48"/>
        <v>0</v>
      </c>
      <c r="N114" s="4"/>
      <c r="O114" s="6">
        <f>241.92</f>
        <v>241.92</v>
      </c>
      <c r="P114" s="5">
        <f t="shared" si="49"/>
        <v>0</v>
      </c>
      <c r="Q114" s="4"/>
      <c r="R114" s="6">
        <f>241.92</f>
        <v>241.92</v>
      </c>
      <c r="S114" s="5">
        <f t="shared" si="50"/>
        <v>0</v>
      </c>
      <c r="T114" s="4"/>
      <c r="U114" s="6">
        <f>241.92</f>
        <v>241.92</v>
      </c>
      <c r="V114" s="5">
        <f t="shared" si="51"/>
        <v>0</v>
      </c>
      <c r="W114" s="4"/>
      <c r="X114" s="6">
        <f>241.92</f>
        <v>241.92</v>
      </c>
      <c r="Y114" s="5">
        <f t="shared" si="52"/>
        <v>0</v>
      </c>
      <c r="Z114" s="4"/>
      <c r="AA114" s="6">
        <f>241.92</f>
        <v>241.92</v>
      </c>
      <c r="AB114" s="5">
        <f t="shared" si="53"/>
        <v>0</v>
      </c>
      <c r="AC114" s="4"/>
      <c r="AD114" s="6">
        <f>241.92</f>
        <v>241.92</v>
      </c>
      <c r="AE114" s="5">
        <f t="shared" si="54"/>
        <v>0</v>
      </c>
      <c r="AF114" s="4"/>
      <c r="AG114" s="6">
        <f>241.92</f>
        <v>241.92</v>
      </c>
      <c r="AH114" s="5">
        <f t="shared" si="55"/>
        <v>0</v>
      </c>
      <c r="AI114" s="4"/>
      <c r="AJ114" s="6">
        <f>241.88</f>
        <v>241.88</v>
      </c>
      <c r="AK114" s="5">
        <f t="shared" si="56"/>
        <v>0</v>
      </c>
      <c r="AL114" s="6">
        <f t="shared" si="57"/>
        <v>0</v>
      </c>
      <c r="AM114" s="6">
        <f t="shared" si="58"/>
        <v>2903.0000000000005</v>
      </c>
      <c r="AN114" s="5">
        <f t="shared" si="59"/>
        <v>0</v>
      </c>
    </row>
    <row r="115" spans="1:40" x14ac:dyDescent="0.25">
      <c r="A115" s="3" t="s">
        <v>124</v>
      </c>
      <c r="B115" s="4"/>
      <c r="C115" s="6">
        <f>241.92</f>
        <v>241.92</v>
      </c>
      <c r="D115" s="5">
        <f t="shared" si="45"/>
        <v>0</v>
      </c>
      <c r="E115" s="4"/>
      <c r="F115" s="6">
        <f>241.92</f>
        <v>241.92</v>
      </c>
      <c r="G115" s="5">
        <f t="shared" si="46"/>
        <v>0</v>
      </c>
      <c r="H115" s="4"/>
      <c r="I115" s="6">
        <f>241.92</f>
        <v>241.92</v>
      </c>
      <c r="J115" s="5">
        <f t="shared" si="47"/>
        <v>0</v>
      </c>
      <c r="K115" s="4"/>
      <c r="L115" s="6">
        <f>241.92</f>
        <v>241.92</v>
      </c>
      <c r="M115" s="5">
        <f t="shared" si="48"/>
        <v>0</v>
      </c>
      <c r="N115" s="4"/>
      <c r="O115" s="6">
        <f>241.92</f>
        <v>241.92</v>
      </c>
      <c r="P115" s="5">
        <f t="shared" si="49"/>
        <v>0</v>
      </c>
      <c r="Q115" s="4"/>
      <c r="R115" s="6">
        <f>241.92</f>
        <v>241.92</v>
      </c>
      <c r="S115" s="5">
        <f t="shared" si="50"/>
        <v>0</v>
      </c>
      <c r="T115" s="4"/>
      <c r="U115" s="6">
        <f>241.92</f>
        <v>241.92</v>
      </c>
      <c r="V115" s="5">
        <f t="shared" si="51"/>
        <v>0</v>
      </c>
      <c r="W115" s="4"/>
      <c r="X115" s="6">
        <f>241.92</f>
        <v>241.92</v>
      </c>
      <c r="Y115" s="5">
        <f t="shared" si="52"/>
        <v>0</v>
      </c>
      <c r="Z115" s="4"/>
      <c r="AA115" s="6">
        <f>241.92</f>
        <v>241.92</v>
      </c>
      <c r="AB115" s="5">
        <f t="shared" si="53"/>
        <v>0</v>
      </c>
      <c r="AC115" s="4"/>
      <c r="AD115" s="6">
        <f>241.92</f>
        <v>241.92</v>
      </c>
      <c r="AE115" s="5">
        <f t="shared" si="54"/>
        <v>0</v>
      </c>
      <c r="AF115" s="4"/>
      <c r="AG115" s="6">
        <f>241.92</f>
        <v>241.92</v>
      </c>
      <c r="AH115" s="5">
        <f t="shared" si="55"/>
        <v>0</v>
      </c>
      <c r="AI115" s="4"/>
      <c r="AJ115" s="6">
        <f>241.88</f>
        <v>241.88</v>
      </c>
      <c r="AK115" s="5">
        <f t="shared" si="56"/>
        <v>0</v>
      </c>
      <c r="AL115" s="6">
        <f t="shared" si="57"/>
        <v>0</v>
      </c>
      <c r="AM115" s="6">
        <f t="shared" si="58"/>
        <v>2903.0000000000005</v>
      </c>
      <c r="AN115" s="5">
        <f t="shared" si="59"/>
        <v>0</v>
      </c>
    </row>
    <row r="116" spans="1:40" x14ac:dyDescent="0.25">
      <c r="A116" s="3" t="s">
        <v>125</v>
      </c>
      <c r="B116" s="7">
        <f>(((((((((B106)+(B107))+(B108))+(B109))+(B110))+(B111))+(B112))+(B113))+(B114))+(B115)</f>
        <v>0</v>
      </c>
      <c r="C116" s="7">
        <f>(((((((((C106)+(C107))+(C108))+(C109))+(C110))+(C111))+(C112))+(C113))+(C114))+(C115)</f>
        <v>1993.7000000000003</v>
      </c>
      <c r="D116" s="8">
        <f t="shared" si="45"/>
        <v>0</v>
      </c>
      <c r="E116" s="7">
        <f>(((((((((E106)+(E107))+(E108))+(E109))+(E110))+(E111))+(E112))+(E113))+(E114))+(E115)</f>
        <v>0</v>
      </c>
      <c r="F116" s="7">
        <f>(((((((((F106)+(F107))+(F108))+(F109))+(F110))+(F111))+(F112))+(F113))+(F114))+(F115)</f>
        <v>1993.7000000000003</v>
      </c>
      <c r="G116" s="8">
        <f t="shared" si="46"/>
        <v>0</v>
      </c>
      <c r="H116" s="7">
        <f>(((((((((H106)+(H107))+(H108))+(H109))+(H110))+(H111))+(H112))+(H113))+(H114))+(H115)</f>
        <v>152.76</v>
      </c>
      <c r="I116" s="7">
        <f>(((((((((I106)+(I107))+(I108))+(I109))+(I110))+(I111))+(I112))+(I113))+(I114))+(I115)</f>
        <v>1993.7000000000003</v>
      </c>
      <c r="J116" s="8">
        <f t="shared" si="47"/>
        <v>7.6621357275417551E-2</v>
      </c>
      <c r="K116" s="7">
        <f>(((((((((K106)+(K107))+(K108))+(K109))+(K110))+(K111))+(K112))+(K113))+(K114))+(K115)</f>
        <v>1059.56</v>
      </c>
      <c r="L116" s="7">
        <f>(((((((((L106)+(L107))+(L108))+(L109))+(L110))+(L111))+(L112))+(L113))+(L114))+(L115)</f>
        <v>1993.7000000000003</v>
      </c>
      <c r="M116" s="8">
        <f t="shared" si="48"/>
        <v>0.53145408035311226</v>
      </c>
      <c r="N116" s="7">
        <f>(((((((((N106)+(N107))+(N108))+(N109))+(N110))+(N111))+(N112))+(N113))+(N114))+(N115)</f>
        <v>0</v>
      </c>
      <c r="O116" s="7">
        <f>(((((((((O106)+(O107))+(O108))+(O109))+(O110))+(O111))+(O112))+(O113))+(O114))+(O115)</f>
        <v>1993.7000000000003</v>
      </c>
      <c r="P116" s="8">
        <f t="shared" si="49"/>
        <v>0</v>
      </c>
      <c r="Q116" s="7">
        <f>(((((((((Q106)+(Q107))+(Q108))+(Q109))+(Q110))+(Q111))+(Q112))+(Q113))+(Q114))+(Q115)</f>
        <v>0</v>
      </c>
      <c r="R116" s="7">
        <f>(((((((((R106)+(R107))+(R108))+(R109))+(R110))+(R111))+(R112))+(R113))+(R114))+(R115)</f>
        <v>1993.7000000000003</v>
      </c>
      <c r="S116" s="8">
        <f t="shared" si="50"/>
        <v>0</v>
      </c>
      <c r="T116" s="7">
        <f>(((((((((T106)+(T107))+(T108))+(T109))+(T110))+(T111))+(T112))+(T113))+(T114))+(T115)</f>
        <v>0</v>
      </c>
      <c r="U116" s="7">
        <f>(((((((((U106)+(U107))+(U108))+(U109))+(U110))+(U111))+(U112))+(U113))+(U114))+(U115)</f>
        <v>1993.7000000000003</v>
      </c>
      <c r="V116" s="8">
        <f t="shared" si="51"/>
        <v>0</v>
      </c>
      <c r="W116" s="7">
        <f>(((((((((W106)+(W107))+(W108))+(W109))+(W110))+(W111))+(W112))+(W113))+(W114))+(W115)</f>
        <v>0</v>
      </c>
      <c r="X116" s="7">
        <f>(((((((((X106)+(X107))+(X108))+(X109))+(X110))+(X111))+(X112))+(X113))+(X114))+(X115)</f>
        <v>1993.7000000000003</v>
      </c>
      <c r="Y116" s="8">
        <f t="shared" si="52"/>
        <v>0</v>
      </c>
      <c r="Z116" s="7">
        <f>(((((((((Z106)+(Z107))+(Z108))+(Z109))+(Z110))+(Z111))+(Z112))+(Z113))+(Z114))+(Z115)</f>
        <v>0</v>
      </c>
      <c r="AA116" s="7">
        <f>(((((((((AA106)+(AA107))+(AA108))+(AA109))+(AA110))+(AA111))+(AA112))+(AA113))+(AA114))+(AA115)</f>
        <v>1993.7000000000003</v>
      </c>
      <c r="AB116" s="8">
        <f t="shared" si="53"/>
        <v>0</v>
      </c>
      <c r="AC116" s="7">
        <f>(((((((((AC106)+(AC107))+(AC108))+(AC109))+(AC110))+(AC111))+(AC112))+(AC113))+(AC114))+(AC115)</f>
        <v>0</v>
      </c>
      <c r="AD116" s="7">
        <f>(((((((((AD106)+(AD107))+(AD108))+(AD109))+(AD110))+(AD111))+(AD112))+(AD113))+(AD114))+(AD115)</f>
        <v>1993.7000000000003</v>
      </c>
      <c r="AE116" s="8">
        <f t="shared" si="54"/>
        <v>0</v>
      </c>
      <c r="AF116" s="7">
        <f>(((((((((AF106)+(AF107))+(AF108))+(AF109))+(AF110))+(AF111))+(AF112))+(AF113))+(AF114))+(AF115)</f>
        <v>0</v>
      </c>
      <c r="AG116" s="7">
        <f>(((((((((AG106)+(AG107))+(AG108))+(AG109))+(AG110))+(AG111))+(AG112))+(AG113))+(AG114))+(AG115)</f>
        <v>1993.7000000000003</v>
      </c>
      <c r="AH116" s="8">
        <f t="shared" si="55"/>
        <v>0</v>
      </c>
      <c r="AI116" s="7">
        <f>(((((((((AI106)+(AI107))+(AI108))+(AI109))+(AI110))+(AI111))+(AI112))+(AI113))+(AI114))+(AI115)</f>
        <v>0</v>
      </c>
      <c r="AJ116" s="7">
        <f>(((((((((AJ106)+(AJ107))+(AJ108))+(AJ109))+(AJ110))+(AJ111))+(AJ112))+(AJ113))+(AJ114))+(AJ115)</f>
        <v>1993.3000000000002</v>
      </c>
      <c r="AK116" s="8">
        <f t="shared" si="56"/>
        <v>0</v>
      </c>
      <c r="AL116" s="7">
        <f t="shared" si="57"/>
        <v>1212.32</v>
      </c>
      <c r="AM116" s="7">
        <f t="shared" si="58"/>
        <v>23924.000000000004</v>
      </c>
      <c r="AN116" s="8">
        <f t="shared" si="59"/>
        <v>5.0673800367831458E-2</v>
      </c>
    </row>
    <row r="117" spans="1:40" x14ac:dyDescent="0.25">
      <c r="A117" s="3" t="s">
        <v>126</v>
      </c>
      <c r="B117" s="4"/>
      <c r="C117" s="6">
        <f>1000</f>
        <v>1000</v>
      </c>
      <c r="D117" s="5">
        <f t="shared" si="45"/>
        <v>0</v>
      </c>
      <c r="E117" s="4"/>
      <c r="F117" s="6">
        <f>1000</f>
        <v>1000</v>
      </c>
      <c r="G117" s="5">
        <f t="shared" si="46"/>
        <v>0</v>
      </c>
      <c r="H117" s="6">
        <f>18.02</f>
        <v>18.02</v>
      </c>
      <c r="I117" s="6">
        <f>1000</f>
        <v>1000</v>
      </c>
      <c r="J117" s="5">
        <f t="shared" si="47"/>
        <v>1.8020000000000001E-2</v>
      </c>
      <c r="K117" s="4"/>
      <c r="L117" s="6">
        <f>1000</f>
        <v>1000</v>
      </c>
      <c r="M117" s="5">
        <f t="shared" si="48"/>
        <v>0</v>
      </c>
      <c r="N117" s="4"/>
      <c r="O117" s="6">
        <f>1000</f>
        <v>1000</v>
      </c>
      <c r="P117" s="5">
        <f t="shared" si="49"/>
        <v>0</v>
      </c>
      <c r="Q117" s="4"/>
      <c r="R117" s="6">
        <f>1000</f>
        <v>1000</v>
      </c>
      <c r="S117" s="5">
        <f t="shared" si="50"/>
        <v>0</v>
      </c>
      <c r="T117" s="4"/>
      <c r="U117" s="6">
        <f>1000</f>
        <v>1000</v>
      </c>
      <c r="V117" s="5">
        <f t="shared" si="51"/>
        <v>0</v>
      </c>
      <c r="W117" s="4"/>
      <c r="X117" s="6">
        <f>1000</f>
        <v>1000</v>
      </c>
      <c r="Y117" s="5">
        <f t="shared" si="52"/>
        <v>0</v>
      </c>
      <c r="Z117" s="4"/>
      <c r="AA117" s="6">
        <f>1000</f>
        <v>1000</v>
      </c>
      <c r="AB117" s="5">
        <f t="shared" si="53"/>
        <v>0</v>
      </c>
      <c r="AC117" s="4"/>
      <c r="AD117" s="6">
        <f>1000</f>
        <v>1000</v>
      </c>
      <c r="AE117" s="5">
        <f t="shared" si="54"/>
        <v>0</v>
      </c>
      <c r="AF117" s="4"/>
      <c r="AG117" s="6">
        <f>1000</f>
        <v>1000</v>
      </c>
      <c r="AH117" s="5">
        <f t="shared" si="55"/>
        <v>0</v>
      </c>
      <c r="AI117" s="4"/>
      <c r="AJ117" s="6">
        <f>1000</f>
        <v>1000</v>
      </c>
      <c r="AK117" s="5">
        <f t="shared" si="56"/>
        <v>0</v>
      </c>
      <c r="AL117" s="6">
        <f t="shared" si="57"/>
        <v>18.02</v>
      </c>
      <c r="AM117" s="6">
        <f t="shared" si="58"/>
        <v>12000</v>
      </c>
      <c r="AN117" s="5">
        <f t="shared" si="59"/>
        <v>1.5016666666666666E-3</v>
      </c>
    </row>
    <row r="118" spans="1:40" x14ac:dyDescent="0.25">
      <c r="A118" s="3" t="s">
        <v>127</v>
      </c>
      <c r="B118" s="4"/>
      <c r="C118" s="6">
        <f>83.33</f>
        <v>83.33</v>
      </c>
      <c r="D118" s="5">
        <f t="shared" si="45"/>
        <v>0</v>
      </c>
      <c r="E118" s="4"/>
      <c r="F118" s="6">
        <f>83.33</f>
        <v>83.33</v>
      </c>
      <c r="G118" s="5">
        <f t="shared" si="46"/>
        <v>0</v>
      </c>
      <c r="H118" s="4"/>
      <c r="I118" s="6">
        <f>83.33</f>
        <v>83.33</v>
      </c>
      <c r="J118" s="5">
        <f t="shared" si="47"/>
        <v>0</v>
      </c>
      <c r="K118" s="4"/>
      <c r="L118" s="6">
        <f>83.33</f>
        <v>83.33</v>
      </c>
      <c r="M118" s="5">
        <f t="shared" si="48"/>
        <v>0</v>
      </c>
      <c r="N118" s="4"/>
      <c r="O118" s="6">
        <f>83.33</f>
        <v>83.33</v>
      </c>
      <c r="P118" s="5">
        <f t="shared" si="49"/>
        <v>0</v>
      </c>
      <c r="Q118" s="4"/>
      <c r="R118" s="6">
        <f>83.33</f>
        <v>83.33</v>
      </c>
      <c r="S118" s="5">
        <f t="shared" si="50"/>
        <v>0</v>
      </c>
      <c r="T118" s="4"/>
      <c r="U118" s="6">
        <f>83.33</f>
        <v>83.33</v>
      </c>
      <c r="V118" s="5">
        <f t="shared" si="51"/>
        <v>0</v>
      </c>
      <c r="W118" s="4"/>
      <c r="X118" s="6">
        <f>83.33</f>
        <v>83.33</v>
      </c>
      <c r="Y118" s="5">
        <f t="shared" si="52"/>
        <v>0</v>
      </c>
      <c r="Z118" s="4"/>
      <c r="AA118" s="6">
        <f>83.33</f>
        <v>83.33</v>
      </c>
      <c r="AB118" s="5">
        <f t="shared" si="53"/>
        <v>0</v>
      </c>
      <c r="AC118" s="4"/>
      <c r="AD118" s="6">
        <f>83.33</f>
        <v>83.33</v>
      </c>
      <c r="AE118" s="5">
        <f t="shared" si="54"/>
        <v>0</v>
      </c>
      <c r="AF118" s="4"/>
      <c r="AG118" s="6">
        <f>83.33</f>
        <v>83.33</v>
      </c>
      <c r="AH118" s="5">
        <f t="shared" si="55"/>
        <v>0</v>
      </c>
      <c r="AI118" s="4"/>
      <c r="AJ118" s="6">
        <f>83.37</f>
        <v>83.37</v>
      </c>
      <c r="AK118" s="5">
        <f t="shared" si="56"/>
        <v>0</v>
      </c>
      <c r="AL118" s="6">
        <f t="shared" si="57"/>
        <v>0</v>
      </c>
      <c r="AM118" s="6">
        <f t="shared" si="58"/>
        <v>1000.0000000000001</v>
      </c>
      <c r="AN118" s="5">
        <f t="shared" si="59"/>
        <v>0</v>
      </c>
    </row>
    <row r="119" spans="1:40" x14ac:dyDescent="0.25">
      <c r="A119" s="3" t="s">
        <v>128</v>
      </c>
      <c r="B119" s="7">
        <f>(B117)+(B118)</f>
        <v>0</v>
      </c>
      <c r="C119" s="7">
        <f>(C117)+(C118)</f>
        <v>1083.33</v>
      </c>
      <c r="D119" s="8">
        <f t="shared" si="45"/>
        <v>0</v>
      </c>
      <c r="E119" s="7">
        <f>(E117)+(E118)</f>
        <v>0</v>
      </c>
      <c r="F119" s="7">
        <f>(F117)+(F118)</f>
        <v>1083.33</v>
      </c>
      <c r="G119" s="8">
        <f t="shared" si="46"/>
        <v>0</v>
      </c>
      <c r="H119" s="7">
        <f>(H117)+(H118)</f>
        <v>18.02</v>
      </c>
      <c r="I119" s="7">
        <f>(I117)+(I118)</f>
        <v>1083.33</v>
      </c>
      <c r="J119" s="8">
        <f t="shared" si="47"/>
        <v>1.6633897335068724E-2</v>
      </c>
      <c r="K119" s="7">
        <f>(K117)+(K118)</f>
        <v>0</v>
      </c>
      <c r="L119" s="7">
        <f>(L117)+(L118)</f>
        <v>1083.33</v>
      </c>
      <c r="M119" s="8">
        <f t="shared" si="48"/>
        <v>0</v>
      </c>
      <c r="N119" s="7">
        <f>(N117)+(N118)</f>
        <v>0</v>
      </c>
      <c r="O119" s="7">
        <f>(O117)+(O118)</f>
        <v>1083.33</v>
      </c>
      <c r="P119" s="8">
        <f t="shared" si="49"/>
        <v>0</v>
      </c>
      <c r="Q119" s="7">
        <f>(Q117)+(Q118)</f>
        <v>0</v>
      </c>
      <c r="R119" s="7">
        <f>(R117)+(R118)</f>
        <v>1083.33</v>
      </c>
      <c r="S119" s="8">
        <f t="shared" si="50"/>
        <v>0</v>
      </c>
      <c r="T119" s="7">
        <f>(T117)+(T118)</f>
        <v>0</v>
      </c>
      <c r="U119" s="7">
        <f>(U117)+(U118)</f>
        <v>1083.33</v>
      </c>
      <c r="V119" s="8">
        <f t="shared" si="51"/>
        <v>0</v>
      </c>
      <c r="W119" s="7">
        <f>(W117)+(W118)</f>
        <v>0</v>
      </c>
      <c r="X119" s="7">
        <f>(X117)+(X118)</f>
        <v>1083.33</v>
      </c>
      <c r="Y119" s="8">
        <f t="shared" si="52"/>
        <v>0</v>
      </c>
      <c r="Z119" s="7">
        <f>(Z117)+(Z118)</f>
        <v>0</v>
      </c>
      <c r="AA119" s="7">
        <f>(AA117)+(AA118)</f>
        <v>1083.33</v>
      </c>
      <c r="AB119" s="8">
        <f t="shared" si="53"/>
        <v>0</v>
      </c>
      <c r="AC119" s="7">
        <f>(AC117)+(AC118)</f>
        <v>0</v>
      </c>
      <c r="AD119" s="7">
        <f>(AD117)+(AD118)</f>
        <v>1083.33</v>
      </c>
      <c r="AE119" s="8">
        <f t="shared" si="54"/>
        <v>0</v>
      </c>
      <c r="AF119" s="7">
        <f>(AF117)+(AF118)</f>
        <v>0</v>
      </c>
      <c r="AG119" s="7">
        <f>(AG117)+(AG118)</f>
        <v>1083.33</v>
      </c>
      <c r="AH119" s="8">
        <f t="shared" si="55"/>
        <v>0</v>
      </c>
      <c r="AI119" s="7">
        <f>(AI117)+(AI118)</f>
        <v>0</v>
      </c>
      <c r="AJ119" s="7">
        <f>(AJ117)+(AJ118)</f>
        <v>1083.3699999999999</v>
      </c>
      <c r="AK119" s="8">
        <f t="shared" si="56"/>
        <v>0</v>
      </c>
      <c r="AL119" s="7">
        <f t="shared" si="57"/>
        <v>18.02</v>
      </c>
      <c r="AM119" s="7">
        <f t="shared" si="58"/>
        <v>13000</v>
      </c>
      <c r="AN119" s="8">
        <f t="shared" si="59"/>
        <v>1.3861538461538462E-3</v>
      </c>
    </row>
    <row r="120" spans="1:40" x14ac:dyDescent="0.25">
      <c r="A120" s="3" t="s">
        <v>129</v>
      </c>
      <c r="B120" s="4"/>
      <c r="C120" s="6">
        <f>41.67</f>
        <v>41.67</v>
      </c>
      <c r="D120" s="5">
        <f t="shared" si="45"/>
        <v>0</v>
      </c>
      <c r="E120" s="4"/>
      <c r="F120" s="6">
        <f>41.67</f>
        <v>41.67</v>
      </c>
      <c r="G120" s="5">
        <f t="shared" si="46"/>
        <v>0</v>
      </c>
      <c r="H120" s="4"/>
      <c r="I120" s="6">
        <f>41.67</f>
        <v>41.67</v>
      </c>
      <c r="J120" s="5">
        <f t="shared" si="47"/>
        <v>0</v>
      </c>
      <c r="K120" s="4"/>
      <c r="L120" s="6">
        <f>41.67</f>
        <v>41.67</v>
      </c>
      <c r="M120" s="5">
        <f t="shared" si="48"/>
        <v>0</v>
      </c>
      <c r="N120" s="4"/>
      <c r="O120" s="6">
        <f>41.67</f>
        <v>41.67</v>
      </c>
      <c r="P120" s="5">
        <f t="shared" si="49"/>
        <v>0</v>
      </c>
      <c r="Q120" s="4"/>
      <c r="R120" s="6">
        <f>41.67</f>
        <v>41.67</v>
      </c>
      <c r="S120" s="5">
        <f t="shared" si="50"/>
        <v>0</v>
      </c>
      <c r="T120" s="4"/>
      <c r="U120" s="6">
        <f>41.67</f>
        <v>41.67</v>
      </c>
      <c r="V120" s="5">
        <f t="shared" si="51"/>
        <v>0</v>
      </c>
      <c r="W120" s="4"/>
      <c r="X120" s="6">
        <f>41.67</f>
        <v>41.67</v>
      </c>
      <c r="Y120" s="5">
        <f t="shared" si="52"/>
        <v>0</v>
      </c>
      <c r="Z120" s="4"/>
      <c r="AA120" s="6">
        <f>41.67</f>
        <v>41.67</v>
      </c>
      <c r="AB120" s="5">
        <f t="shared" si="53"/>
        <v>0</v>
      </c>
      <c r="AC120" s="4"/>
      <c r="AD120" s="6">
        <f>41.67</f>
        <v>41.67</v>
      </c>
      <c r="AE120" s="5">
        <f t="shared" si="54"/>
        <v>0</v>
      </c>
      <c r="AF120" s="4"/>
      <c r="AG120" s="6">
        <f>41.67</f>
        <v>41.67</v>
      </c>
      <c r="AH120" s="5">
        <f t="shared" si="55"/>
        <v>0</v>
      </c>
      <c r="AI120" s="4"/>
      <c r="AJ120" s="6">
        <f>41.63</f>
        <v>41.63</v>
      </c>
      <c r="AK120" s="5">
        <f t="shared" si="56"/>
        <v>0</v>
      </c>
      <c r="AL120" s="6">
        <f t="shared" si="57"/>
        <v>0</v>
      </c>
      <c r="AM120" s="6">
        <f t="shared" si="58"/>
        <v>500.00000000000011</v>
      </c>
      <c r="AN120" s="5">
        <f t="shared" si="59"/>
        <v>0</v>
      </c>
    </row>
    <row r="121" spans="1:40" x14ac:dyDescent="0.25">
      <c r="A121" s="3" t="s">
        <v>130</v>
      </c>
      <c r="B121" s="6">
        <f>160.35</f>
        <v>160.35</v>
      </c>
      <c r="C121" s="6">
        <f>166.67</f>
        <v>166.67</v>
      </c>
      <c r="D121" s="5">
        <f t="shared" si="45"/>
        <v>0.96208075838483231</v>
      </c>
      <c r="E121" s="6">
        <f>-315.24</f>
        <v>-315.24</v>
      </c>
      <c r="F121" s="6">
        <f>166.67</f>
        <v>166.67</v>
      </c>
      <c r="G121" s="5">
        <f t="shared" si="46"/>
        <v>-1.891402171956561</v>
      </c>
      <c r="H121" s="6">
        <f>128.5</f>
        <v>128.5</v>
      </c>
      <c r="I121" s="6">
        <f>166.67</f>
        <v>166.67</v>
      </c>
      <c r="J121" s="5">
        <f t="shared" si="47"/>
        <v>0.7709845803083939</v>
      </c>
      <c r="K121" s="6">
        <f>111.39</f>
        <v>111.39</v>
      </c>
      <c r="L121" s="6">
        <f>166.67</f>
        <v>166.67</v>
      </c>
      <c r="M121" s="5">
        <f t="shared" si="48"/>
        <v>0.66832663346733068</v>
      </c>
      <c r="N121" s="4"/>
      <c r="O121" s="6">
        <f>166.67</f>
        <v>166.67</v>
      </c>
      <c r="P121" s="5">
        <f t="shared" si="49"/>
        <v>0</v>
      </c>
      <c r="Q121" s="4"/>
      <c r="R121" s="6">
        <f>166.67</f>
        <v>166.67</v>
      </c>
      <c r="S121" s="5">
        <f t="shared" si="50"/>
        <v>0</v>
      </c>
      <c r="T121" s="4"/>
      <c r="U121" s="6">
        <f>166.67</f>
        <v>166.67</v>
      </c>
      <c r="V121" s="5">
        <f t="shared" si="51"/>
        <v>0</v>
      </c>
      <c r="W121" s="4"/>
      <c r="X121" s="6">
        <f>166.67</f>
        <v>166.67</v>
      </c>
      <c r="Y121" s="5">
        <f t="shared" si="52"/>
        <v>0</v>
      </c>
      <c r="Z121" s="4"/>
      <c r="AA121" s="6">
        <f>166.67</f>
        <v>166.67</v>
      </c>
      <c r="AB121" s="5">
        <f t="shared" si="53"/>
        <v>0</v>
      </c>
      <c r="AC121" s="4"/>
      <c r="AD121" s="6">
        <f>166.67</f>
        <v>166.67</v>
      </c>
      <c r="AE121" s="5">
        <f t="shared" si="54"/>
        <v>0</v>
      </c>
      <c r="AF121" s="4"/>
      <c r="AG121" s="6">
        <f>166.67</f>
        <v>166.67</v>
      </c>
      <c r="AH121" s="5">
        <f t="shared" si="55"/>
        <v>0</v>
      </c>
      <c r="AI121" s="4"/>
      <c r="AJ121" s="6">
        <f>166.63</f>
        <v>166.63</v>
      </c>
      <c r="AK121" s="5">
        <f t="shared" si="56"/>
        <v>0</v>
      </c>
      <c r="AL121" s="6">
        <f t="shared" si="57"/>
        <v>84.999999999999986</v>
      </c>
      <c r="AM121" s="6">
        <f t="shared" si="58"/>
        <v>2000</v>
      </c>
      <c r="AN121" s="5">
        <f t="shared" si="59"/>
        <v>4.2499999999999996E-2</v>
      </c>
    </row>
    <row r="122" spans="1:40" x14ac:dyDescent="0.25">
      <c r="A122" s="3" t="s">
        <v>131</v>
      </c>
      <c r="B122" s="4"/>
      <c r="C122" s="6">
        <f>2708.33</f>
        <v>2708.33</v>
      </c>
      <c r="D122" s="5">
        <f t="shared" si="45"/>
        <v>0</v>
      </c>
      <c r="E122" s="4"/>
      <c r="F122" s="6">
        <f>2708.33</f>
        <v>2708.33</v>
      </c>
      <c r="G122" s="5">
        <f t="shared" si="46"/>
        <v>0</v>
      </c>
      <c r="H122" s="6">
        <f>7930</f>
        <v>7930</v>
      </c>
      <c r="I122" s="6">
        <f>2708.33</f>
        <v>2708.33</v>
      </c>
      <c r="J122" s="5">
        <f t="shared" si="47"/>
        <v>2.9280036036967432</v>
      </c>
      <c r="K122" s="4"/>
      <c r="L122" s="6">
        <f>2708.33</f>
        <v>2708.33</v>
      </c>
      <c r="M122" s="5">
        <f t="shared" si="48"/>
        <v>0</v>
      </c>
      <c r="N122" s="4"/>
      <c r="O122" s="6">
        <f>2708.33</f>
        <v>2708.33</v>
      </c>
      <c r="P122" s="5">
        <f t="shared" si="49"/>
        <v>0</v>
      </c>
      <c r="Q122" s="4"/>
      <c r="R122" s="6">
        <f>2708.33</f>
        <v>2708.33</v>
      </c>
      <c r="S122" s="5">
        <f t="shared" si="50"/>
        <v>0</v>
      </c>
      <c r="T122" s="4"/>
      <c r="U122" s="6">
        <f>2708.33</f>
        <v>2708.33</v>
      </c>
      <c r="V122" s="5">
        <f t="shared" si="51"/>
        <v>0</v>
      </c>
      <c r="W122" s="4"/>
      <c r="X122" s="6">
        <f>2708.33</f>
        <v>2708.33</v>
      </c>
      <c r="Y122" s="5">
        <f t="shared" si="52"/>
        <v>0</v>
      </c>
      <c r="Z122" s="4"/>
      <c r="AA122" s="6">
        <f>2708.33</f>
        <v>2708.33</v>
      </c>
      <c r="AB122" s="5">
        <f t="shared" si="53"/>
        <v>0</v>
      </c>
      <c r="AC122" s="4"/>
      <c r="AD122" s="6">
        <f>2708.33</f>
        <v>2708.33</v>
      </c>
      <c r="AE122" s="5">
        <f t="shared" si="54"/>
        <v>0</v>
      </c>
      <c r="AF122" s="4"/>
      <c r="AG122" s="6">
        <f>2708.33</f>
        <v>2708.33</v>
      </c>
      <c r="AH122" s="5">
        <f t="shared" si="55"/>
        <v>0</v>
      </c>
      <c r="AI122" s="4"/>
      <c r="AJ122" s="6">
        <f>2708.37</f>
        <v>2708.37</v>
      </c>
      <c r="AK122" s="5">
        <f t="shared" si="56"/>
        <v>0</v>
      </c>
      <c r="AL122" s="6">
        <f t="shared" si="57"/>
        <v>7930</v>
      </c>
      <c r="AM122" s="6">
        <f t="shared" si="58"/>
        <v>32500.000000000004</v>
      </c>
      <c r="AN122" s="5">
        <f t="shared" si="59"/>
        <v>0.24399999999999997</v>
      </c>
    </row>
    <row r="123" spans="1:40" x14ac:dyDescent="0.25">
      <c r="A123" s="3" t="s">
        <v>132</v>
      </c>
      <c r="B123" s="4"/>
      <c r="C123" s="6">
        <f>0</f>
        <v>0</v>
      </c>
      <c r="D123" s="5" t="str">
        <f t="shared" si="45"/>
        <v/>
      </c>
      <c r="E123" s="4"/>
      <c r="F123" s="6">
        <f>0</f>
        <v>0</v>
      </c>
      <c r="G123" s="5" t="str">
        <f t="shared" si="46"/>
        <v/>
      </c>
      <c r="H123" s="4"/>
      <c r="I123" s="6">
        <f>0</f>
        <v>0</v>
      </c>
      <c r="J123" s="5" t="str">
        <f t="shared" si="47"/>
        <v/>
      </c>
      <c r="K123" s="4"/>
      <c r="L123" s="6">
        <f>0</f>
        <v>0</v>
      </c>
      <c r="M123" s="5" t="str">
        <f t="shared" si="48"/>
        <v/>
      </c>
      <c r="N123" s="4"/>
      <c r="O123" s="6">
        <f>0</f>
        <v>0</v>
      </c>
      <c r="P123" s="5" t="str">
        <f t="shared" si="49"/>
        <v/>
      </c>
      <c r="Q123" s="4"/>
      <c r="R123" s="6">
        <f>0</f>
        <v>0</v>
      </c>
      <c r="S123" s="5" t="str">
        <f t="shared" si="50"/>
        <v/>
      </c>
      <c r="T123" s="4"/>
      <c r="U123" s="6">
        <f>0</f>
        <v>0</v>
      </c>
      <c r="V123" s="5" t="str">
        <f t="shared" si="51"/>
        <v/>
      </c>
      <c r="W123" s="4"/>
      <c r="X123" s="6">
        <f>0</f>
        <v>0</v>
      </c>
      <c r="Y123" s="5" t="str">
        <f t="shared" si="52"/>
        <v/>
      </c>
      <c r="Z123" s="4"/>
      <c r="AA123" s="6">
        <f>0</f>
        <v>0</v>
      </c>
      <c r="AB123" s="5" t="str">
        <f t="shared" si="53"/>
        <v/>
      </c>
      <c r="AC123" s="4"/>
      <c r="AD123" s="6">
        <f>0</f>
        <v>0</v>
      </c>
      <c r="AE123" s="5" t="str">
        <f t="shared" si="54"/>
        <v/>
      </c>
      <c r="AF123" s="4"/>
      <c r="AG123" s="6">
        <f>0</f>
        <v>0</v>
      </c>
      <c r="AH123" s="5" t="str">
        <f t="shared" si="55"/>
        <v/>
      </c>
      <c r="AI123" s="4"/>
      <c r="AJ123" s="6">
        <f>0</f>
        <v>0</v>
      </c>
      <c r="AK123" s="5" t="str">
        <f t="shared" si="56"/>
        <v/>
      </c>
      <c r="AL123" s="6">
        <f t="shared" si="57"/>
        <v>0</v>
      </c>
      <c r="AM123" s="6">
        <f t="shared" si="58"/>
        <v>0</v>
      </c>
      <c r="AN123" s="5" t="str">
        <f t="shared" si="59"/>
        <v/>
      </c>
    </row>
    <row r="124" spans="1:40" x14ac:dyDescent="0.25">
      <c r="A124" s="3" t="s">
        <v>133</v>
      </c>
      <c r="B124" s="4"/>
      <c r="C124" s="4"/>
      <c r="D124" s="5" t="str">
        <f t="shared" si="45"/>
        <v/>
      </c>
      <c r="E124" s="4"/>
      <c r="F124" s="4"/>
      <c r="G124" s="5" t="str">
        <f t="shared" si="46"/>
        <v/>
      </c>
      <c r="H124" s="4"/>
      <c r="I124" s="4"/>
      <c r="J124" s="5" t="str">
        <f t="shared" si="47"/>
        <v/>
      </c>
      <c r="K124" s="4"/>
      <c r="L124" s="4"/>
      <c r="M124" s="5" t="str">
        <f t="shared" si="48"/>
        <v/>
      </c>
      <c r="N124" s="4"/>
      <c r="O124" s="4"/>
      <c r="P124" s="5" t="str">
        <f t="shared" si="49"/>
        <v/>
      </c>
      <c r="Q124" s="4"/>
      <c r="R124" s="4"/>
      <c r="S124" s="5" t="str">
        <f t="shared" si="50"/>
        <v/>
      </c>
      <c r="T124" s="4"/>
      <c r="U124" s="4"/>
      <c r="V124" s="5" t="str">
        <f t="shared" si="51"/>
        <v/>
      </c>
      <c r="W124" s="4"/>
      <c r="X124" s="4"/>
      <c r="Y124" s="5" t="str">
        <f t="shared" si="52"/>
        <v/>
      </c>
      <c r="Z124" s="4"/>
      <c r="AA124" s="4"/>
      <c r="AB124" s="5" t="str">
        <f t="shared" si="53"/>
        <v/>
      </c>
      <c r="AC124" s="4"/>
      <c r="AD124" s="4"/>
      <c r="AE124" s="5" t="str">
        <f t="shared" si="54"/>
        <v/>
      </c>
      <c r="AF124" s="4"/>
      <c r="AG124" s="4"/>
      <c r="AH124" s="5" t="str">
        <f t="shared" si="55"/>
        <v/>
      </c>
      <c r="AI124" s="4"/>
      <c r="AJ124" s="4"/>
      <c r="AK124" s="5" t="str">
        <f t="shared" si="56"/>
        <v/>
      </c>
      <c r="AL124" s="6">
        <f t="shared" si="57"/>
        <v>0</v>
      </c>
      <c r="AM124" s="6">
        <f t="shared" si="58"/>
        <v>0</v>
      </c>
      <c r="AN124" s="5" t="str">
        <f t="shared" si="59"/>
        <v/>
      </c>
    </row>
    <row r="125" spans="1:40" x14ac:dyDescent="0.25">
      <c r="A125" s="3" t="s">
        <v>134</v>
      </c>
      <c r="B125" s="4"/>
      <c r="C125" s="6">
        <f>3166.67</f>
        <v>3166.67</v>
      </c>
      <c r="D125" s="5">
        <f t="shared" si="45"/>
        <v>0</v>
      </c>
      <c r="E125" s="4"/>
      <c r="F125" s="6">
        <f>3166.67</f>
        <v>3166.67</v>
      </c>
      <c r="G125" s="5">
        <f t="shared" si="46"/>
        <v>0</v>
      </c>
      <c r="H125" s="4"/>
      <c r="I125" s="6">
        <f>3166.67</f>
        <v>3166.67</v>
      </c>
      <c r="J125" s="5">
        <f t="shared" si="47"/>
        <v>0</v>
      </c>
      <c r="K125" s="4"/>
      <c r="L125" s="6">
        <f>3166.67</f>
        <v>3166.67</v>
      </c>
      <c r="M125" s="5">
        <f t="shared" si="48"/>
        <v>0</v>
      </c>
      <c r="N125" s="4"/>
      <c r="O125" s="6">
        <f>3166.67</f>
        <v>3166.67</v>
      </c>
      <c r="P125" s="5">
        <f t="shared" si="49"/>
        <v>0</v>
      </c>
      <c r="Q125" s="4"/>
      <c r="R125" s="6">
        <f>3166.67</f>
        <v>3166.67</v>
      </c>
      <c r="S125" s="5">
        <f t="shared" si="50"/>
        <v>0</v>
      </c>
      <c r="T125" s="4"/>
      <c r="U125" s="6">
        <f>3166.67</f>
        <v>3166.67</v>
      </c>
      <c r="V125" s="5">
        <f t="shared" si="51"/>
        <v>0</v>
      </c>
      <c r="W125" s="4"/>
      <c r="X125" s="6">
        <f>3166.67</f>
        <v>3166.67</v>
      </c>
      <c r="Y125" s="5">
        <f t="shared" si="52"/>
        <v>0</v>
      </c>
      <c r="Z125" s="4"/>
      <c r="AA125" s="6">
        <f>3166.67</f>
        <v>3166.67</v>
      </c>
      <c r="AB125" s="5">
        <f t="shared" si="53"/>
        <v>0</v>
      </c>
      <c r="AC125" s="4"/>
      <c r="AD125" s="6">
        <f>3166.67</f>
        <v>3166.67</v>
      </c>
      <c r="AE125" s="5">
        <f t="shared" si="54"/>
        <v>0</v>
      </c>
      <c r="AF125" s="4"/>
      <c r="AG125" s="6">
        <f>3166.67</f>
        <v>3166.67</v>
      </c>
      <c r="AH125" s="5">
        <f t="shared" si="55"/>
        <v>0</v>
      </c>
      <c r="AI125" s="4"/>
      <c r="AJ125" s="6">
        <f>3166.63</f>
        <v>3166.63</v>
      </c>
      <c r="AK125" s="5">
        <f t="shared" si="56"/>
        <v>0</v>
      </c>
      <c r="AL125" s="6">
        <f t="shared" si="57"/>
        <v>0</v>
      </c>
      <c r="AM125" s="6">
        <f t="shared" si="58"/>
        <v>37999.999999999993</v>
      </c>
      <c r="AN125" s="5">
        <f t="shared" si="59"/>
        <v>0</v>
      </c>
    </row>
    <row r="126" spans="1:40" x14ac:dyDescent="0.25">
      <c r="A126" s="3" t="s">
        <v>135</v>
      </c>
      <c r="B126" s="4"/>
      <c r="C126" s="6">
        <f>0</f>
        <v>0</v>
      </c>
      <c r="D126" s="5" t="str">
        <f t="shared" si="45"/>
        <v/>
      </c>
      <c r="E126" s="4"/>
      <c r="F126" s="6">
        <f>0</f>
        <v>0</v>
      </c>
      <c r="G126" s="5" t="str">
        <f t="shared" si="46"/>
        <v/>
      </c>
      <c r="H126" s="4"/>
      <c r="I126" s="6">
        <f>0</f>
        <v>0</v>
      </c>
      <c r="J126" s="5" t="str">
        <f t="shared" si="47"/>
        <v/>
      </c>
      <c r="K126" s="4"/>
      <c r="L126" s="6">
        <f>0</f>
        <v>0</v>
      </c>
      <c r="M126" s="5" t="str">
        <f t="shared" si="48"/>
        <v/>
      </c>
      <c r="N126" s="4"/>
      <c r="O126" s="6">
        <f>0</f>
        <v>0</v>
      </c>
      <c r="P126" s="5" t="str">
        <f t="shared" si="49"/>
        <v/>
      </c>
      <c r="Q126" s="4"/>
      <c r="R126" s="6">
        <f>0</f>
        <v>0</v>
      </c>
      <c r="S126" s="5" t="str">
        <f t="shared" si="50"/>
        <v/>
      </c>
      <c r="T126" s="4"/>
      <c r="U126" s="6">
        <f>0</f>
        <v>0</v>
      </c>
      <c r="V126" s="5" t="str">
        <f t="shared" si="51"/>
        <v/>
      </c>
      <c r="W126" s="4"/>
      <c r="X126" s="6">
        <f>0</f>
        <v>0</v>
      </c>
      <c r="Y126" s="5" t="str">
        <f t="shared" si="52"/>
        <v/>
      </c>
      <c r="Z126" s="4"/>
      <c r="AA126" s="6">
        <f>0</f>
        <v>0</v>
      </c>
      <c r="AB126" s="5" t="str">
        <f t="shared" si="53"/>
        <v/>
      </c>
      <c r="AC126" s="4"/>
      <c r="AD126" s="6">
        <f>0</f>
        <v>0</v>
      </c>
      <c r="AE126" s="5" t="str">
        <f t="shared" si="54"/>
        <v/>
      </c>
      <c r="AF126" s="4"/>
      <c r="AG126" s="6">
        <f>0</f>
        <v>0</v>
      </c>
      <c r="AH126" s="5" t="str">
        <f t="shared" si="55"/>
        <v/>
      </c>
      <c r="AI126" s="4"/>
      <c r="AJ126" s="6">
        <f>0</f>
        <v>0</v>
      </c>
      <c r="AK126" s="5" t="str">
        <f t="shared" si="56"/>
        <v/>
      </c>
      <c r="AL126" s="6">
        <f t="shared" si="57"/>
        <v>0</v>
      </c>
      <c r="AM126" s="6">
        <f t="shared" si="58"/>
        <v>0</v>
      </c>
      <c r="AN126" s="5" t="str">
        <f t="shared" si="59"/>
        <v/>
      </c>
    </row>
    <row r="127" spans="1:40" x14ac:dyDescent="0.25">
      <c r="A127" s="3" t="s">
        <v>136</v>
      </c>
      <c r="B127" s="4"/>
      <c r="C127" s="6">
        <f>0</f>
        <v>0</v>
      </c>
      <c r="D127" s="5" t="str">
        <f t="shared" si="45"/>
        <v/>
      </c>
      <c r="E127" s="4"/>
      <c r="F127" s="6">
        <f>0</f>
        <v>0</v>
      </c>
      <c r="G127" s="5" t="str">
        <f t="shared" si="46"/>
        <v/>
      </c>
      <c r="H127" s="4"/>
      <c r="I127" s="6">
        <f>0</f>
        <v>0</v>
      </c>
      <c r="J127" s="5" t="str">
        <f t="shared" si="47"/>
        <v/>
      </c>
      <c r="K127" s="4"/>
      <c r="L127" s="6">
        <f>0</f>
        <v>0</v>
      </c>
      <c r="M127" s="5" t="str">
        <f t="shared" si="48"/>
        <v/>
      </c>
      <c r="N127" s="4"/>
      <c r="O127" s="6">
        <f>0</f>
        <v>0</v>
      </c>
      <c r="P127" s="5" t="str">
        <f t="shared" si="49"/>
        <v/>
      </c>
      <c r="Q127" s="4"/>
      <c r="R127" s="6">
        <f>0</f>
        <v>0</v>
      </c>
      <c r="S127" s="5" t="str">
        <f t="shared" si="50"/>
        <v/>
      </c>
      <c r="T127" s="4"/>
      <c r="U127" s="6">
        <f>0</f>
        <v>0</v>
      </c>
      <c r="V127" s="5" t="str">
        <f t="shared" si="51"/>
        <v/>
      </c>
      <c r="W127" s="4"/>
      <c r="X127" s="6">
        <f>0</f>
        <v>0</v>
      </c>
      <c r="Y127" s="5" t="str">
        <f t="shared" si="52"/>
        <v/>
      </c>
      <c r="Z127" s="4"/>
      <c r="AA127" s="6">
        <f>0</f>
        <v>0</v>
      </c>
      <c r="AB127" s="5" t="str">
        <f t="shared" si="53"/>
        <v/>
      </c>
      <c r="AC127" s="4"/>
      <c r="AD127" s="6">
        <f>0</f>
        <v>0</v>
      </c>
      <c r="AE127" s="5" t="str">
        <f t="shared" si="54"/>
        <v/>
      </c>
      <c r="AF127" s="4"/>
      <c r="AG127" s="6">
        <f>0</f>
        <v>0</v>
      </c>
      <c r="AH127" s="5" t="str">
        <f t="shared" si="55"/>
        <v/>
      </c>
      <c r="AI127" s="4"/>
      <c r="AJ127" s="6">
        <f>0</f>
        <v>0</v>
      </c>
      <c r="AK127" s="5" t="str">
        <f t="shared" si="56"/>
        <v/>
      </c>
      <c r="AL127" s="6">
        <f t="shared" si="57"/>
        <v>0</v>
      </c>
      <c r="AM127" s="6">
        <f t="shared" si="58"/>
        <v>0</v>
      </c>
      <c r="AN127" s="5" t="str">
        <f t="shared" si="59"/>
        <v/>
      </c>
    </row>
    <row r="128" spans="1:40" x14ac:dyDescent="0.25">
      <c r="A128" s="3" t="s">
        <v>137</v>
      </c>
      <c r="B128" s="4"/>
      <c r="C128" s="6">
        <f>258.33</f>
        <v>258.33</v>
      </c>
      <c r="D128" s="5">
        <f t="shared" si="45"/>
        <v>0</v>
      </c>
      <c r="E128" s="4"/>
      <c r="F128" s="6">
        <f>258.33</f>
        <v>258.33</v>
      </c>
      <c r="G128" s="5">
        <f t="shared" si="46"/>
        <v>0</v>
      </c>
      <c r="H128" s="4"/>
      <c r="I128" s="6">
        <f>258.33</f>
        <v>258.33</v>
      </c>
      <c r="J128" s="5">
        <f t="shared" si="47"/>
        <v>0</v>
      </c>
      <c r="K128" s="4"/>
      <c r="L128" s="6">
        <f>258.33</f>
        <v>258.33</v>
      </c>
      <c r="M128" s="5">
        <f t="shared" si="48"/>
        <v>0</v>
      </c>
      <c r="N128" s="4"/>
      <c r="O128" s="6">
        <f>258.33</f>
        <v>258.33</v>
      </c>
      <c r="P128" s="5">
        <f t="shared" si="49"/>
        <v>0</v>
      </c>
      <c r="Q128" s="4"/>
      <c r="R128" s="6">
        <f>258.33</f>
        <v>258.33</v>
      </c>
      <c r="S128" s="5">
        <f t="shared" si="50"/>
        <v>0</v>
      </c>
      <c r="T128" s="4"/>
      <c r="U128" s="6">
        <f>258.33</f>
        <v>258.33</v>
      </c>
      <c r="V128" s="5">
        <f t="shared" si="51"/>
        <v>0</v>
      </c>
      <c r="W128" s="4"/>
      <c r="X128" s="6">
        <f>258.33</f>
        <v>258.33</v>
      </c>
      <c r="Y128" s="5">
        <f t="shared" si="52"/>
        <v>0</v>
      </c>
      <c r="Z128" s="4"/>
      <c r="AA128" s="6">
        <f>258.33</f>
        <v>258.33</v>
      </c>
      <c r="AB128" s="5">
        <f t="shared" si="53"/>
        <v>0</v>
      </c>
      <c r="AC128" s="4"/>
      <c r="AD128" s="6">
        <f>258.33</f>
        <v>258.33</v>
      </c>
      <c r="AE128" s="5">
        <f t="shared" si="54"/>
        <v>0</v>
      </c>
      <c r="AF128" s="4"/>
      <c r="AG128" s="6">
        <f>258.33</f>
        <v>258.33</v>
      </c>
      <c r="AH128" s="5">
        <f t="shared" si="55"/>
        <v>0</v>
      </c>
      <c r="AI128" s="4"/>
      <c r="AJ128" s="6">
        <f>258.37</f>
        <v>258.37</v>
      </c>
      <c r="AK128" s="5">
        <f t="shared" si="56"/>
        <v>0</v>
      </c>
      <c r="AL128" s="6">
        <f t="shared" si="57"/>
        <v>0</v>
      </c>
      <c r="AM128" s="6">
        <f t="shared" si="58"/>
        <v>3099.9999999999995</v>
      </c>
      <c r="AN128" s="5">
        <f t="shared" si="59"/>
        <v>0</v>
      </c>
    </row>
    <row r="129" spans="1:40" x14ac:dyDescent="0.25">
      <c r="A129" s="3" t="s">
        <v>138</v>
      </c>
      <c r="B129" s="4"/>
      <c r="C129" s="6">
        <f>125</f>
        <v>125</v>
      </c>
      <c r="D129" s="5">
        <f t="shared" si="45"/>
        <v>0</v>
      </c>
      <c r="E129" s="4"/>
      <c r="F129" s="6">
        <f>125</f>
        <v>125</v>
      </c>
      <c r="G129" s="5">
        <f t="shared" si="46"/>
        <v>0</v>
      </c>
      <c r="H129" s="4"/>
      <c r="I129" s="6">
        <f>125</f>
        <v>125</v>
      </c>
      <c r="J129" s="5">
        <f t="shared" si="47"/>
        <v>0</v>
      </c>
      <c r="K129" s="4"/>
      <c r="L129" s="6">
        <f>125</f>
        <v>125</v>
      </c>
      <c r="M129" s="5">
        <f t="shared" si="48"/>
        <v>0</v>
      </c>
      <c r="N129" s="4"/>
      <c r="O129" s="6">
        <f>125</f>
        <v>125</v>
      </c>
      <c r="P129" s="5">
        <f t="shared" si="49"/>
        <v>0</v>
      </c>
      <c r="Q129" s="4"/>
      <c r="R129" s="6">
        <f>125</f>
        <v>125</v>
      </c>
      <c r="S129" s="5">
        <f t="shared" si="50"/>
        <v>0</v>
      </c>
      <c r="T129" s="4"/>
      <c r="U129" s="6">
        <f>125</f>
        <v>125</v>
      </c>
      <c r="V129" s="5">
        <f t="shared" si="51"/>
        <v>0</v>
      </c>
      <c r="W129" s="4"/>
      <c r="X129" s="6">
        <f>125</f>
        <v>125</v>
      </c>
      <c r="Y129" s="5">
        <f t="shared" si="52"/>
        <v>0</v>
      </c>
      <c r="Z129" s="4"/>
      <c r="AA129" s="6">
        <f>125</f>
        <v>125</v>
      </c>
      <c r="AB129" s="5">
        <f t="shared" si="53"/>
        <v>0</v>
      </c>
      <c r="AC129" s="4"/>
      <c r="AD129" s="6">
        <f>125</f>
        <v>125</v>
      </c>
      <c r="AE129" s="5">
        <f t="shared" si="54"/>
        <v>0</v>
      </c>
      <c r="AF129" s="4"/>
      <c r="AG129" s="6">
        <f>125</f>
        <v>125</v>
      </c>
      <c r="AH129" s="5">
        <f t="shared" si="55"/>
        <v>0</v>
      </c>
      <c r="AI129" s="4"/>
      <c r="AJ129" s="6">
        <f>125</f>
        <v>125</v>
      </c>
      <c r="AK129" s="5">
        <f t="shared" si="56"/>
        <v>0</v>
      </c>
      <c r="AL129" s="6">
        <f t="shared" si="57"/>
        <v>0</v>
      </c>
      <c r="AM129" s="6">
        <f t="shared" si="58"/>
        <v>1500</v>
      </c>
      <c r="AN129" s="5">
        <f t="shared" si="59"/>
        <v>0</v>
      </c>
    </row>
    <row r="130" spans="1:40" x14ac:dyDescent="0.25">
      <c r="A130" s="3" t="s">
        <v>139</v>
      </c>
      <c r="B130" s="4"/>
      <c r="C130" s="6">
        <f>83.33</f>
        <v>83.33</v>
      </c>
      <c r="D130" s="5">
        <f t="shared" si="45"/>
        <v>0</v>
      </c>
      <c r="E130" s="4"/>
      <c r="F130" s="6">
        <f>83.33</f>
        <v>83.33</v>
      </c>
      <c r="G130" s="5">
        <f t="shared" si="46"/>
        <v>0</v>
      </c>
      <c r="H130" s="4"/>
      <c r="I130" s="6">
        <f>83.33</f>
        <v>83.33</v>
      </c>
      <c r="J130" s="5">
        <f t="shared" si="47"/>
        <v>0</v>
      </c>
      <c r="K130" s="4"/>
      <c r="L130" s="6">
        <f>83.33</f>
        <v>83.33</v>
      </c>
      <c r="M130" s="5">
        <f t="shared" si="48"/>
        <v>0</v>
      </c>
      <c r="N130" s="4"/>
      <c r="O130" s="6">
        <f>83.33</f>
        <v>83.33</v>
      </c>
      <c r="P130" s="5">
        <f t="shared" si="49"/>
        <v>0</v>
      </c>
      <c r="Q130" s="4"/>
      <c r="R130" s="6">
        <f>83.33</f>
        <v>83.33</v>
      </c>
      <c r="S130" s="5">
        <f t="shared" si="50"/>
        <v>0</v>
      </c>
      <c r="T130" s="4"/>
      <c r="U130" s="6">
        <f>83.33</f>
        <v>83.33</v>
      </c>
      <c r="V130" s="5">
        <f t="shared" si="51"/>
        <v>0</v>
      </c>
      <c r="W130" s="4"/>
      <c r="X130" s="6">
        <f>83.33</f>
        <v>83.33</v>
      </c>
      <c r="Y130" s="5">
        <f t="shared" si="52"/>
        <v>0</v>
      </c>
      <c r="Z130" s="4"/>
      <c r="AA130" s="6">
        <f>83.33</f>
        <v>83.33</v>
      </c>
      <c r="AB130" s="5">
        <f t="shared" si="53"/>
        <v>0</v>
      </c>
      <c r="AC130" s="4"/>
      <c r="AD130" s="6">
        <f>83.33</f>
        <v>83.33</v>
      </c>
      <c r="AE130" s="5">
        <f t="shared" si="54"/>
        <v>0</v>
      </c>
      <c r="AF130" s="4"/>
      <c r="AG130" s="6">
        <f>83.33</f>
        <v>83.33</v>
      </c>
      <c r="AH130" s="5">
        <f t="shared" si="55"/>
        <v>0</v>
      </c>
      <c r="AI130" s="4"/>
      <c r="AJ130" s="6">
        <f>83.37</f>
        <v>83.37</v>
      </c>
      <c r="AK130" s="5">
        <f t="shared" si="56"/>
        <v>0</v>
      </c>
      <c r="AL130" s="6">
        <f t="shared" si="57"/>
        <v>0</v>
      </c>
      <c r="AM130" s="6">
        <f t="shared" si="58"/>
        <v>1000.0000000000001</v>
      </c>
      <c r="AN130" s="5">
        <f t="shared" si="59"/>
        <v>0</v>
      </c>
    </row>
    <row r="131" spans="1:40" x14ac:dyDescent="0.25">
      <c r="A131" s="3" t="s">
        <v>140</v>
      </c>
      <c r="B131" s="4"/>
      <c r="C131" s="6">
        <f>20.83</f>
        <v>20.83</v>
      </c>
      <c r="D131" s="5">
        <f t="shared" si="45"/>
        <v>0</v>
      </c>
      <c r="E131" s="4"/>
      <c r="F131" s="6">
        <f>20.83</f>
        <v>20.83</v>
      </c>
      <c r="G131" s="5">
        <f t="shared" si="46"/>
        <v>0</v>
      </c>
      <c r="H131" s="4"/>
      <c r="I131" s="6">
        <f>20.83</f>
        <v>20.83</v>
      </c>
      <c r="J131" s="5">
        <f t="shared" si="47"/>
        <v>0</v>
      </c>
      <c r="K131" s="4"/>
      <c r="L131" s="6">
        <f>20.83</f>
        <v>20.83</v>
      </c>
      <c r="M131" s="5">
        <f t="shared" si="48"/>
        <v>0</v>
      </c>
      <c r="N131" s="4"/>
      <c r="O131" s="6">
        <f>20.83</f>
        <v>20.83</v>
      </c>
      <c r="P131" s="5">
        <f t="shared" si="49"/>
        <v>0</v>
      </c>
      <c r="Q131" s="4"/>
      <c r="R131" s="6">
        <f>20.83</f>
        <v>20.83</v>
      </c>
      <c r="S131" s="5">
        <f t="shared" si="50"/>
        <v>0</v>
      </c>
      <c r="T131" s="4"/>
      <c r="U131" s="6">
        <f>20.83</f>
        <v>20.83</v>
      </c>
      <c r="V131" s="5">
        <f t="shared" si="51"/>
        <v>0</v>
      </c>
      <c r="W131" s="4"/>
      <c r="X131" s="6">
        <f>20.83</f>
        <v>20.83</v>
      </c>
      <c r="Y131" s="5">
        <f t="shared" si="52"/>
        <v>0</v>
      </c>
      <c r="Z131" s="4"/>
      <c r="AA131" s="6">
        <f>20.83</f>
        <v>20.83</v>
      </c>
      <c r="AB131" s="5">
        <f t="shared" si="53"/>
        <v>0</v>
      </c>
      <c r="AC131" s="4"/>
      <c r="AD131" s="6">
        <f>20.83</f>
        <v>20.83</v>
      </c>
      <c r="AE131" s="5">
        <f t="shared" si="54"/>
        <v>0</v>
      </c>
      <c r="AF131" s="4"/>
      <c r="AG131" s="6">
        <f>20.83</f>
        <v>20.83</v>
      </c>
      <c r="AH131" s="5">
        <f t="shared" si="55"/>
        <v>0</v>
      </c>
      <c r="AI131" s="4"/>
      <c r="AJ131" s="6">
        <f>20.87</f>
        <v>20.87</v>
      </c>
      <c r="AK131" s="5">
        <f t="shared" si="56"/>
        <v>0</v>
      </c>
      <c r="AL131" s="6">
        <f t="shared" si="57"/>
        <v>0</v>
      </c>
      <c r="AM131" s="6">
        <f t="shared" si="58"/>
        <v>249.99999999999994</v>
      </c>
      <c r="AN131" s="5">
        <f t="shared" si="59"/>
        <v>0</v>
      </c>
    </row>
    <row r="132" spans="1:40" x14ac:dyDescent="0.25">
      <c r="A132" s="3" t="s">
        <v>141</v>
      </c>
      <c r="B132" s="4"/>
      <c r="C132" s="6">
        <f>208.33</f>
        <v>208.33</v>
      </c>
      <c r="D132" s="5">
        <f t="shared" si="45"/>
        <v>0</v>
      </c>
      <c r="E132" s="4"/>
      <c r="F132" s="6">
        <f>208.33</f>
        <v>208.33</v>
      </c>
      <c r="G132" s="5">
        <f t="shared" si="46"/>
        <v>0</v>
      </c>
      <c r="H132" s="4"/>
      <c r="I132" s="6">
        <f>208.33</f>
        <v>208.33</v>
      </c>
      <c r="J132" s="5">
        <f t="shared" si="47"/>
        <v>0</v>
      </c>
      <c r="K132" s="4"/>
      <c r="L132" s="6">
        <f>208.33</f>
        <v>208.33</v>
      </c>
      <c r="M132" s="5">
        <f t="shared" si="48"/>
        <v>0</v>
      </c>
      <c r="N132" s="4"/>
      <c r="O132" s="6">
        <f>208.33</f>
        <v>208.33</v>
      </c>
      <c r="P132" s="5">
        <f t="shared" si="49"/>
        <v>0</v>
      </c>
      <c r="Q132" s="4"/>
      <c r="R132" s="6">
        <f>208.33</f>
        <v>208.33</v>
      </c>
      <c r="S132" s="5">
        <f t="shared" si="50"/>
        <v>0</v>
      </c>
      <c r="T132" s="4"/>
      <c r="U132" s="6">
        <f>208.33</f>
        <v>208.33</v>
      </c>
      <c r="V132" s="5">
        <f t="shared" si="51"/>
        <v>0</v>
      </c>
      <c r="W132" s="4"/>
      <c r="X132" s="6">
        <f>208.33</f>
        <v>208.33</v>
      </c>
      <c r="Y132" s="5">
        <f t="shared" si="52"/>
        <v>0</v>
      </c>
      <c r="Z132" s="4"/>
      <c r="AA132" s="6">
        <f>208.33</f>
        <v>208.33</v>
      </c>
      <c r="AB132" s="5">
        <f t="shared" si="53"/>
        <v>0</v>
      </c>
      <c r="AC132" s="4"/>
      <c r="AD132" s="6">
        <f>208.33</f>
        <v>208.33</v>
      </c>
      <c r="AE132" s="5">
        <f t="shared" si="54"/>
        <v>0</v>
      </c>
      <c r="AF132" s="4"/>
      <c r="AG132" s="6">
        <f>208.33</f>
        <v>208.33</v>
      </c>
      <c r="AH132" s="5">
        <f t="shared" si="55"/>
        <v>0</v>
      </c>
      <c r="AI132" s="4"/>
      <c r="AJ132" s="6">
        <f>208.37</f>
        <v>208.37</v>
      </c>
      <c r="AK132" s="5">
        <f t="shared" si="56"/>
        <v>0</v>
      </c>
      <c r="AL132" s="6">
        <f t="shared" si="57"/>
        <v>0</v>
      </c>
      <c r="AM132" s="6">
        <f t="shared" si="58"/>
        <v>2499.9999999999995</v>
      </c>
      <c r="AN132" s="5">
        <f t="shared" si="59"/>
        <v>0</v>
      </c>
    </row>
    <row r="133" spans="1:40" x14ac:dyDescent="0.25">
      <c r="A133" s="3" t="s">
        <v>142</v>
      </c>
      <c r="B133" s="7">
        <f>((((((((B124)+(B125))+(B126))+(B127))+(B128))+(B129))+(B130))+(B131))+(B132)</f>
        <v>0</v>
      </c>
      <c r="C133" s="7">
        <f>((((((((C124)+(C125))+(C126))+(C127))+(C128))+(C129))+(C130))+(C131))+(C132)</f>
        <v>3862.49</v>
      </c>
      <c r="D133" s="8">
        <f t="shared" si="45"/>
        <v>0</v>
      </c>
      <c r="E133" s="7">
        <f>((((((((E124)+(E125))+(E126))+(E127))+(E128))+(E129))+(E130))+(E131))+(E132)</f>
        <v>0</v>
      </c>
      <c r="F133" s="7">
        <f>((((((((F124)+(F125))+(F126))+(F127))+(F128))+(F129))+(F130))+(F131))+(F132)</f>
        <v>3862.49</v>
      </c>
      <c r="G133" s="8">
        <f t="shared" si="46"/>
        <v>0</v>
      </c>
      <c r="H133" s="7">
        <f>((((((((H124)+(H125))+(H126))+(H127))+(H128))+(H129))+(H130))+(H131))+(H132)</f>
        <v>0</v>
      </c>
      <c r="I133" s="7">
        <f>((((((((I124)+(I125))+(I126))+(I127))+(I128))+(I129))+(I130))+(I131))+(I132)</f>
        <v>3862.49</v>
      </c>
      <c r="J133" s="8">
        <f t="shared" si="47"/>
        <v>0</v>
      </c>
      <c r="K133" s="7">
        <f>((((((((K124)+(K125))+(K126))+(K127))+(K128))+(K129))+(K130))+(K131))+(K132)</f>
        <v>0</v>
      </c>
      <c r="L133" s="7">
        <f>((((((((L124)+(L125))+(L126))+(L127))+(L128))+(L129))+(L130))+(L131))+(L132)</f>
        <v>3862.49</v>
      </c>
      <c r="M133" s="8">
        <f t="shared" si="48"/>
        <v>0</v>
      </c>
      <c r="N133" s="7">
        <f>((((((((N124)+(N125))+(N126))+(N127))+(N128))+(N129))+(N130))+(N131))+(N132)</f>
        <v>0</v>
      </c>
      <c r="O133" s="7">
        <f>((((((((O124)+(O125))+(O126))+(O127))+(O128))+(O129))+(O130))+(O131))+(O132)</f>
        <v>3862.49</v>
      </c>
      <c r="P133" s="8">
        <f t="shared" si="49"/>
        <v>0</v>
      </c>
      <c r="Q133" s="7">
        <f>((((((((Q124)+(Q125))+(Q126))+(Q127))+(Q128))+(Q129))+(Q130))+(Q131))+(Q132)</f>
        <v>0</v>
      </c>
      <c r="R133" s="7">
        <f>((((((((R124)+(R125))+(R126))+(R127))+(R128))+(R129))+(R130))+(R131))+(R132)</f>
        <v>3862.49</v>
      </c>
      <c r="S133" s="8">
        <f t="shared" si="50"/>
        <v>0</v>
      </c>
      <c r="T133" s="7">
        <f>((((((((T124)+(T125))+(T126))+(T127))+(T128))+(T129))+(T130))+(T131))+(T132)</f>
        <v>0</v>
      </c>
      <c r="U133" s="7">
        <f>((((((((U124)+(U125))+(U126))+(U127))+(U128))+(U129))+(U130))+(U131))+(U132)</f>
        <v>3862.49</v>
      </c>
      <c r="V133" s="8">
        <f t="shared" si="51"/>
        <v>0</v>
      </c>
      <c r="W133" s="7">
        <f>((((((((W124)+(W125))+(W126))+(W127))+(W128))+(W129))+(W130))+(W131))+(W132)</f>
        <v>0</v>
      </c>
      <c r="X133" s="7">
        <f>((((((((X124)+(X125))+(X126))+(X127))+(X128))+(X129))+(X130))+(X131))+(X132)</f>
        <v>3862.49</v>
      </c>
      <c r="Y133" s="8">
        <f t="shared" si="52"/>
        <v>0</v>
      </c>
      <c r="Z133" s="7">
        <f>((((((((Z124)+(Z125))+(Z126))+(Z127))+(Z128))+(Z129))+(Z130))+(Z131))+(Z132)</f>
        <v>0</v>
      </c>
      <c r="AA133" s="7">
        <f>((((((((AA124)+(AA125))+(AA126))+(AA127))+(AA128))+(AA129))+(AA130))+(AA131))+(AA132)</f>
        <v>3862.49</v>
      </c>
      <c r="AB133" s="8">
        <f t="shared" si="53"/>
        <v>0</v>
      </c>
      <c r="AC133" s="7">
        <f>((((((((AC124)+(AC125))+(AC126))+(AC127))+(AC128))+(AC129))+(AC130))+(AC131))+(AC132)</f>
        <v>0</v>
      </c>
      <c r="AD133" s="7">
        <f>((((((((AD124)+(AD125))+(AD126))+(AD127))+(AD128))+(AD129))+(AD130))+(AD131))+(AD132)</f>
        <v>3862.49</v>
      </c>
      <c r="AE133" s="8">
        <f t="shared" si="54"/>
        <v>0</v>
      </c>
      <c r="AF133" s="7">
        <f>((((((((AF124)+(AF125))+(AF126))+(AF127))+(AF128))+(AF129))+(AF130))+(AF131))+(AF132)</f>
        <v>0</v>
      </c>
      <c r="AG133" s="7">
        <f>((((((((AG124)+(AG125))+(AG126))+(AG127))+(AG128))+(AG129))+(AG130))+(AG131))+(AG132)</f>
        <v>3862.49</v>
      </c>
      <c r="AH133" s="8">
        <f t="shared" si="55"/>
        <v>0</v>
      </c>
      <c r="AI133" s="7">
        <f>((((((((AI124)+(AI125))+(AI126))+(AI127))+(AI128))+(AI129))+(AI130))+(AI131))+(AI132)</f>
        <v>0</v>
      </c>
      <c r="AJ133" s="7">
        <f>((((((((AJ124)+(AJ125))+(AJ126))+(AJ127))+(AJ128))+(AJ129))+(AJ130))+(AJ131))+(AJ132)</f>
        <v>3862.6099999999997</v>
      </c>
      <c r="AK133" s="8">
        <f t="shared" si="56"/>
        <v>0</v>
      </c>
      <c r="AL133" s="7">
        <f t="shared" si="57"/>
        <v>0</v>
      </c>
      <c r="AM133" s="7">
        <f t="shared" si="58"/>
        <v>46349.999999999985</v>
      </c>
      <c r="AN133" s="8">
        <f t="shared" si="59"/>
        <v>0</v>
      </c>
    </row>
    <row r="134" spans="1:40" x14ac:dyDescent="0.25">
      <c r="A134" s="3" t="s">
        <v>143</v>
      </c>
      <c r="B134" s="7">
        <f>((((((((((((((((((((((((((((B56)+(B57))+(B61))+(B72))+(B73))+(B74))+(B75))+(B80))+(B81))+(B85))+(B89))+(B90))+(B91))+(B92))+(B93))+(B94))+(B95))+(B101))+(B102))+(B103))+(B104))+(B105))+(B116))+(B119))+(B120))+(B121))+(B122))+(B123))+(B133)</f>
        <v>38108.589999999989</v>
      </c>
      <c r="C134" s="7">
        <f>((((((((((((((((((((((((((((C56)+(C57))+(C61))+(C72))+(C73))+(C74))+(C75))+(C80))+(C81))+(C85))+(C89))+(C90))+(C91))+(C92))+(C93))+(C94))+(C95))+(C101))+(C102))+(C103))+(C104))+(C105))+(C116))+(C119))+(C120))+(C121))+(C122))+(C123))+(C133)</f>
        <v>48564.090000000004</v>
      </c>
      <c r="D134" s="8">
        <f t="shared" si="45"/>
        <v>0.78470717766975528</v>
      </c>
      <c r="E134" s="7">
        <f>((((((((((((((((((((((((((((E56)+(E57))+(E61))+(E72))+(E73))+(E74))+(E75))+(E80))+(E81))+(E85))+(E89))+(E90))+(E91))+(E92))+(E93))+(E94))+(E95))+(E101))+(E102))+(E103))+(E104))+(E105))+(E116))+(E119))+(E120))+(E121))+(E122))+(E123))+(E133)</f>
        <v>34193.210000000006</v>
      </c>
      <c r="F134" s="7">
        <f>((((((((((((((((((((((((((((F56)+(F57))+(F61))+(F72))+(F73))+(F74))+(F75))+(F80))+(F81))+(F85))+(F89))+(F90))+(F91))+(F92))+(F93))+(F94))+(F95))+(F101))+(F102))+(F103))+(F104))+(F105))+(F116))+(F119))+(F120))+(F121))+(F122))+(F123))+(F133)</f>
        <v>48564.090000000004</v>
      </c>
      <c r="G134" s="8">
        <f t="shared" si="46"/>
        <v>0.70408423178525537</v>
      </c>
      <c r="H134" s="7">
        <f>((((((((((((((((((((((((((((H56)+(H57))+(H61))+(H72))+(H73))+(H74))+(H75))+(H80))+(H81))+(H85))+(H89))+(H90))+(H91))+(H92))+(H93))+(H94))+(H95))+(H101))+(H102))+(H103))+(H104))+(H105))+(H116))+(H119))+(H120))+(H121))+(H122))+(H123))+(H133)</f>
        <v>43381.810000000005</v>
      </c>
      <c r="I134" s="7">
        <f>((((((((((((((((((((((((((((I56)+(I57))+(I61))+(I72))+(I73))+(I74))+(I75))+(I80))+(I81))+(I85))+(I89))+(I90))+(I91))+(I92))+(I93))+(I94))+(I95))+(I101))+(I102))+(I103))+(I104))+(I105))+(I116))+(I119))+(I120))+(I121))+(I122))+(I123))+(I133)</f>
        <v>48564.090000000004</v>
      </c>
      <c r="J134" s="8">
        <f t="shared" si="47"/>
        <v>0.89328987735588172</v>
      </c>
      <c r="K134" s="7">
        <f>((((((((((((((((((((((((((((K56)+(K57))+(K61))+(K72))+(K73))+(K74))+(K75))+(K80))+(K81))+(K85))+(K89))+(K90))+(K91))+(K92))+(K93))+(K94))+(K95))+(K101))+(K102))+(K103))+(K104))+(K105))+(K116))+(K119))+(K120))+(K121))+(K122))+(K123))+(K133)</f>
        <v>37430.929999999993</v>
      </c>
      <c r="L134" s="7">
        <f>((((((((((((((((((((((((((((L56)+(L57))+(L61))+(L72))+(L73))+(L74))+(L75))+(L80))+(L81))+(L85))+(L89))+(L90))+(L91))+(L92))+(L93))+(L94))+(L95))+(L101))+(L102))+(L103))+(L104))+(L105))+(L116))+(L119))+(L120))+(L121))+(L122))+(L123))+(L133)</f>
        <v>48564.090000000004</v>
      </c>
      <c r="M134" s="8">
        <f t="shared" si="48"/>
        <v>0.77075324586541183</v>
      </c>
      <c r="N134" s="7">
        <f>((((((((((((((((((((((((((((N56)+(N57))+(N61))+(N72))+(N73))+(N74))+(N75))+(N80))+(N81))+(N85))+(N89))+(N90))+(N91))+(N92))+(N93))+(N94))+(N95))+(N101))+(N102))+(N103))+(N104))+(N105))+(N116))+(N119))+(N120))+(N121))+(N122))+(N123))+(N133)</f>
        <v>0</v>
      </c>
      <c r="O134" s="7">
        <f>((((((((((((((((((((((((((((O56)+(O57))+(O61))+(O72))+(O73))+(O74))+(O75))+(O80))+(O81))+(O85))+(O89))+(O90))+(O91))+(O92))+(O93))+(O94))+(O95))+(O101))+(O102))+(O103))+(O104))+(O105))+(O116))+(O119))+(O120))+(O121))+(O122))+(O123))+(O133)</f>
        <v>48564.090000000004</v>
      </c>
      <c r="P134" s="8">
        <f t="shared" si="49"/>
        <v>0</v>
      </c>
      <c r="Q134" s="7">
        <f>((((((((((((((((((((((((((((Q56)+(Q57))+(Q61))+(Q72))+(Q73))+(Q74))+(Q75))+(Q80))+(Q81))+(Q85))+(Q89))+(Q90))+(Q91))+(Q92))+(Q93))+(Q94))+(Q95))+(Q101))+(Q102))+(Q103))+(Q104))+(Q105))+(Q116))+(Q119))+(Q120))+(Q121))+(Q122))+(Q123))+(Q133)</f>
        <v>0</v>
      </c>
      <c r="R134" s="7">
        <f>((((((((((((((((((((((((((((R56)+(R57))+(R61))+(R72))+(R73))+(R74))+(R75))+(R80))+(R81))+(R85))+(R89))+(R90))+(R91))+(R92))+(R93))+(R94))+(R95))+(R101))+(R102))+(R103))+(R104))+(R105))+(R116))+(R119))+(R120))+(R121))+(R122))+(R123))+(R133)</f>
        <v>48564.090000000004</v>
      </c>
      <c r="S134" s="8">
        <f t="shared" si="50"/>
        <v>0</v>
      </c>
      <c r="T134" s="7">
        <f>((((((((((((((((((((((((((((T56)+(T57))+(T61))+(T72))+(T73))+(T74))+(T75))+(T80))+(T81))+(T85))+(T89))+(T90))+(T91))+(T92))+(T93))+(T94))+(T95))+(T101))+(T102))+(T103))+(T104))+(T105))+(T116))+(T119))+(T120))+(T121))+(T122))+(T123))+(T133)</f>
        <v>0</v>
      </c>
      <c r="U134" s="7">
        <f>((((((((((((((((((((((((((((U56)+(U57))+(U61))+(U72))+(U73))+(U74))+(U75))+(U80))+(U81))+(U85))+(U89))+(U90))+(U91))+(U92))+(U93))+(U94))+(U95))+(U101))+(U102))+(U103))+(U104))+(U105))+(U116))+(U119))+(U120))+(U121))+(U122))+(U123))+(U133)</f>
        <v>48564.090000000004</v>
      </c>
      <c r="V134" s="8">
        <f t="shared" si="51"/>
        <v>0</v>
      </c>
      <c r="W134" s="7">
        <f>((((((((((((((((((((((((((((W56)+(W57))+(W61))+(W72))+(W73))+(W74))+(W75))+(W80))+(W81))+(W85))+(W89))+(W90))+(W91))+(W92))+(W93))+(W94))+(W95))+(W101))+(W102))+(W103))+(W104))+(W105))+(W116))+(W119))+(W120))+(W121))+(W122))+(W123))+(W133)</f>
        <v>0</v>
      </c>
      <c r="X134" s="7">
        <f>((((((((((((((((((((((((((((X56)+(X57))+(X61))+(X72))+(X73))+(X74))+(X75))+(X80))+(X81))+(X85))+(X89))+(X90))+(X91))+(X92))+(X93))+(X94))+(X95))+(X101))+(X102))+(X103))+(X104))+(X105))+(X116))+(X119))+(X120))+(X121))+(X122))+(X123))+(X133)</f>
        <v>48564.090000000004</v>
      </c>
      <c r="Y134" s="8">
        <f t="shared" si="52"/>
        <v>0</v>
      </c>
      <c r="Z134" s="7">
        <f>((((((((((((((((((((((((((((Z56)+(Z57))+(Z61))+(Z72))+(Z73))+(Z74))+(Z75))+(Z80))+(Z81))+(Z85))+(Z89))+(Z90))+(Z91))+(Z92))+(Z93))+(Z94))+(Z95))+(Z101))+(Z102))+(Z103))+(Z104))+(Z105))+(Z116))+(Z119))+(Z120))+(Z121))+(Z122))+(Z123))+(Z133)</f>
        <v>0</v>
      </c>
      <c r="AA134" s="7">
        <f>((((((((((((((((((((((((((((AA56)+(AA57))+(AA61))+(AA72))+(AA73))+(AA74))+(AA75))+(AA80))+(AA81))+(AA85))+(AA89))+(AA90))+(AA91))+(AA92))+(AA93))+(AA94))+(AA95))+(AA101))+(AA102))+(AA103))+(AA104))+(AA105))+(AA116))+(AA119))+(AA120))+(AA121))+(AA122))+(AA123))+(AA133)</f>
        <v>48564.090000000004</v>
      </c>
      <c r="AB134" s="8">
        <f t="shared" si="53"/>
        <v>0</v>
      </c>
      <c r="AC134" s="7">
        <f>((((((((((((((((((((((((((((AC56)+(AC57))+(AC61))+(AC72))+(AC73))+(AC74))+(AC75))+(AC80))+(AC81))+(AC85))+(AC89))+(AC90))+(AC91))+(AC92))+(AC93))+(AC94))+(AC95))+(AC101))+(AC102))+(AC103))+(AC104))+(AC105))+(AC116))+(AC119))+(AC120))+(AC121))+(AC122))+(AC123))+(AC133)</f>
        <v>0</v>
      </c>
      <c r="AD134" s="7">
        <f>((((((((((((((((((((((((((((AD56)+(AD57))+(AD61))+(AD72))+(AD73))+(AD74))+(AD75))+(AD80))+(AD81))+(AD85))+(AD89))+(AD90))+(AD91))+(AD92))+(AD93))+(AD94))+(AD95))+(AD101))+(AD102))+(AD103))+(AD104))+(AD105))+(AD116))+(AD119))+(AD120))+(AD121))+(AD122))+(AD123))+(AD133)</f>
        <v>48564.090000000004</v>
      </c>
      <c r="AE134" s="8">
        <f t="shared" si="54"/>
        <v>0</v>
      </c>
      <c r="AF134" s="7">
        <f>((((((((((((((((((((((((((((AF56)+(AF57))+(AF61))+(AF72))+(AF73))+(AF74))+(AF75))+(AF80))+(AF81))+(AF85))+(AF89))+(AF90))+(AF91))+(AF92))+(AF93))+(AF94))+(AF95))+(AF101))+(AF102))+(AF103))+(AF104))+(AF105))+(AF116))+(AF119))+(AF120))+(AF121))+(AF122))+(AF123))+(AF133)</f>
        <v>0</v>
      </c>
      <c r="AG134" s="7">
        <f>((((((((((((((((((((((((((((AG56)+(AG57))+(AG61))+(AG72))+(AG73))+(AG74))+(AG75))+(AG80))+(AG81))+(AG85))+(AG89))+(AG90))+(AG91))+(AG92))+(AG93))+(AG94))+(AG95))+(AG101))+(AG102))+(AG103))+(AG104))+(AG105))+(AG116))+(AG119))+(AG120))+(AG121))+(AG122))+(AG123))+(AG133)</f>
        <v>48564.090000000004</v>
      </c>
      <c r="AH134" s="8">
        <f t="shared" si="55"/>
        <v>0</v>
      </c>
      <c r="AI134" s="7">
        <f>((((((((((((((((((((((((((((AI56)+(AI57))+(AI61))+(AI72))+(AI73))+(AI74))+(AI75))+(AI80))+(AI81))+(AI85))+(AI89))+(AI90))+(AI91))+(AI92))+(AI93))+(AI94))+(AI95))+(AI101))+(AI102))+(AI103))+(AI104))+(AI105))+(AI116))+(AI119))+(AI120))+(AI121))+(AI122))+(AI123))+(AI133)</f>
        <v>0</v>
      </c>
      <c r="AJ134" s="7">
        <f>((((((((((((((((((((((((((((AJ56)+(AJ57))+(AJ61))+(AJ72))+(AJ73))+(AJ74))+(AJ75))+(AJ80))+(AJ81))+(AJ85))+(AJ89))+(AJ90))+(AJ91))+(AJ92))+(AJ93))+(AJ94))+(AJ95))+(AJ101))+(AJ102))+(AJ103))+(AJ104))+(AJ105))+(AJ116))+(AJ119))+(AJ120))+(AJ121))+(AJ122))+(AJ123))+(AJ133)</f>
        <v>48564.010000000017</v>
      </c>
      <c r="AK134" s="8">
        <f t="shared" si="56"/>
        <v>0</v>
      </c>
      <c r="AL134" s="7">
        <f t="shared" si="57"/>
        <v>153114.53999999998</v>
      </c>
      <c r="AM134" s="7">
        <f t="shared" si="58"/>
        <v>582769.00000000012</v>
      </c>
      <c r="AN134" s="8">
        <f t="shared" si="59"/>
        <v>0.26273624712364579</v>
      </c>
    </row>
    <row r="135" spans="1:40" x14ac:dyDescent="0.25">
      <c r="A135" s="3" t="s">
        <v>144</v>
      </c>
      <c r="B135" s="7">
        <f>(B37)-(B134)</f>
        <v>21989.23000000001</v>
      </c>
      <c r="C135" s="7">
        <f>(C37)-(C134)</f>
        <v>-1724.0999999999985</v>
      </c>
      <c r="D135" s="8">
        <f t="shared" ref="D135:D166" si="60">IF(C135=0,"",(B135)/(C135))</f>
        <v>-12.75403398874777</v>
      </c>
      <c r="E135" s="7">
        <f>(E37)-(E134)</f>
        <v>9353.7899999999936</v>
      </c>
      <c r="F135" s="7">
        <f>(F37)-(F134)</f>
        <v>-1724.0999999999985</v>
      </c>
      <c r="G135" s="8">
        <f t="shared" ref="G135:G166" si="61">IF(F135=0,"",(E135)/(F135))</f>
        <v>-5.4253175569862542</v>
      </c>
      <c r="H135" s="7">
        <f>(H37)-(H134)</f>
        <v>-26512.830000000005</v>
      </c>
      <c r="I135" s="7">
        <f>(I37)-(I134)</f>
        <v>-1724.0999999999985</v>
      </c>
      <c r="J135" s="8">
        <f t="shared" ref="J135:J166" si="62">IF(I135=0,"",(H135)/(I135))</f>
        <v>15.377779711153661</v>
      </c>
      <c r="K135" s="7">
        <f>(K37)-(K134)</f>
        <v>24765.320000000007</v>
      </c>
      <c r="L135" s="7">
        <f>(L37)-(L134)</f>
        <v>-1724.0999999999985</v>
      </c>
      <c r="M135" s="8">
        <f t="shared" ref="M135:M166" si="63">IF(L135=0,"",(K135)/(L135))</f>
        <v>-14.36420161243549</v>
      </c>
      <c r="N135" s="7">
        <f>(N37)-(N134)</f>
        <v>0</v>
      </c>
      <c r="O135" s="7">
        <f>(O37)-(O134)</f>
        <v>-1724.0999999999985</v>
      </c>
      <c r="P135" s="8">
        <f t="shared" ref="P135:P166" si="64">IF(O135=0,"",(N135)/(O135))</f>
        <v>0</v>
      </c>
      <c r="Q135" s="7">
        <f>(Q37)-(Q134)</f>
        <v>0</v>
      </c>
      <c r="R135" s="7">
        <f>(R37)-(R134)</f>
        <v>-1724.0999999999985</v>
      </c>
      <c r="S135" s="8">
        <f t="shared" ref="S135:S166" si="65">IF(R135=0,"",(Q135)/(R135))</f>
        <v>0</v>
      </c>
      <c r="T135" s="7">
        <f>(T37)-(T134)</f>
        <v>0</v>
      </c>
      <c r="U135" s="7">
        <f>(U37)-(U134)</f>
        <v>-1724.0999999999985</v>
      </c>
      <c r="V135" s="8">
        <f t="shared" ref="V135:V166" si="66">IF(U135=0,"",(T135)/(U135))</f>
        <v>0</v>
      </c>
      <c r="W135" s="7">
        <f>(W37)-(W134)</f>
        <v>0</v>
      </c>
      <c r="X135" s="7">
        <f>(X37)-(X134)</f>
        <v>-1724.0999999999985</v>
      </c>
      <c r="Y135" s="8">
        <f t="shared" ref="Y135:Y166" si="67">IF(X135=0,"",(W135)/(X135))</f>
        <v>0</v>
      </c>
      <c r="Z135" s="7">
        <f>(Z37)-(Z134)</f>
        <v>0</v>
      </c>
      <c r="AA135" s="7">
        <f>(AA37)-(AA134)</f>
        <v>-1724.0999999999985</v>
      </c>
      <c r="AB135" s="8">
        <f t="shared" ref="AB135:AB166" si="68">IF(AA135=0,"",(Z135)/(AA135))</f>
        <v>0</v>
      </c>
      <c r="AC135" s="7">
        <f>(AC37)-(AC134)</f>
        <v>0</v>
      </c>
      <c r="AD135" s="7">
        <f>(AD37)-(AD134)</f>
        <v>-1724.0999999999985</v>
      </c>
      <c r="AE135" s="8">
        <f t="shared" ref="AE135:AE166" si="69">IF(AD135=0,"",(AC135)/(AD135))</f>
        <v>0</v>
      </c>
      <c r="AF135" s="7">
        <f>(AF37)-(AF134)</f>
        <v>0</v>
      </c>
      <c r="AG135" s="7">
        <f>(AG37)-(AG134)</f>
        <v>-1724.0999999999985</v>
      </c>
      <c r="AH135" s="8">
        <f t="shared" ref="AH135:AH166" si="70">IF(AG135=0,"",(AF135)/(AG135))</f>
        <v>0</v>
      </c>
      <c r="AI135" s="7">
        <f>(AI37)-(AI134)</f>
        <v>0</v>
      </c>
      <c r="AJ135" s="7">
        <f>(AJ37)-(AJ134)</f>
        <v>-1723.9000000000087</v>
      </c>
      <c r="AK135" s="8">
        <f t="shared" ref="AK135:AK166" si="71">IF(AJ135=0,"",(AI135)/(AJ135))</f>
        <v>0</v>
      </c>
      <c r="AL135" s="7">
        <f t="shared" si="57"/>
        <v>29595.510000000006</v>
      </c>
      <c r="AM135" s="7">
        <f t="shared" si="58"/>
        <v>-20688.999999999993</v>
      </c>
      <c r="AN135" s="8">
        <f t="shared" ref="AN135:AN166" si="72">IF(AM135=0,"",(AL135)/(AM135))</f>
        <v>-1.4304949490067194</v>
      </c>
    </row>
    <row r="136" spans="1:40" x14ac:dyDescent="0.25">
      <c r="A136" s="3" t="s">
        <v>145</v>
      </c>
      <c r="B136" s="9">
        <f>(B135)+(0)</f>
        <v>21989.23000000001</v>
      </c>
      <c r="C136" s="9">
        <f>(C135)+(0)</f>
        <v>-1724.0999999999985</v>
      </c>
      <c r="D136" s="10">
        <f t="shared" si="60"/>
        <v>-12.75403398874777</v>
      </c>
      <c r="E136" s="9">
        <f>(E135)+(0)</f>
        <v>9353.7899999999936</v>
      </c>
      <c r="F136" s="9">
        <f>(F135)+(0)</f>
        <v>-1724.0999999999985</v>
      </c>
      <c r="G136" s="10">
        <f t="shared" si="61"/>
        <v>-5.4253175569862542</v>
      </c>
      <c r="H136" s="9">
        <f>(H135)+(0)</f>
        <v>-26512.830000000005</v>
      </c>
      <c r="I136" s="9">
        <f>(I135)+(0)</f>
        <v>-1724.0999999999985</v>
      </c>
      <c r="J136" s="10">
        <f t="shared" si="62"/>
        <v>15.377779711153661</v>
      </c>
      <c r="K136" s="9">
        <f>(K135)+(0)</f>
        <v>24765.320000000007</v>
      </c>
      <c r="L136" s="9">
        <f>(L135)+(0)</f>
        <v>-1724.0999999999985</v>
      </c>
      <c r="M136" s="10">
        <f t="shared" si="63"/>
        <v>-14.36420161243549</v>
      </c>
      <c r="N136" s="9">
        <f>(N135)+(0)</f>
        <v>0</v>
      </c>
      <c r="O136" s="9">
        <f>(O135)+(0)</f>
        <v>-1724.0999999999985</v>
      </c>
      <c r="P136" s="10">
        <f t="shared" si="64"/>
        <v>0</v>
      </c>
      <c r="Q136" s="9">
        <f>(Q135)+(0)</f>
        <v>0</v>
      </c>
      <c r="R136" s="9">
        <f>(R135)+(0)</f>
        <v>-1724.0999999999985</v>
      </c>
      <c r="S136" s="10">
        <f t="shared" si="65"/>
        <v>0</v>
      </c>
      <c r="T136" s="9">
        <f>(T135)+(0)</f>
        <v>0</v>
      </c>
      <c r="U136" s="9">
        <f>(U135)+(0)</f>
        <v>-1724.0999999999985</v>
      </c>
      <c r="V136" s="10">
        <f t="shared" si="66"/>
        <v>0</v>
      </c>
      <c r="W136" s="9">
        <f>(W135)+(0)</f>
        <v>0</v>
      </c>
      <c r="X136" s="9">
        <f>(X135)+(0)</f>
        <v>-1724.0999999999985</v>
      </c>
      <c r="Y136" s="10">
        <f t="shared" si="67"/>
        <v>0</v>
      </c>
      <c r="Z136" s="9">
        <f>(Z135)+(0)</f>
        <v>0</v>
      </c>
      <c r="AA136" s="9">
        <f>(AA135)+(0)</f>
        <v>-1724.0999999999985</v>
      </c>
      <c r="AB136" s="10">
        <f t="shared" si="68"/>
        <v>0</v>
      </c>
      <c r="AC136" s="9">
        <f>(AC135)+(0)</f>
        <v>0</v>
      </c>
      <c r="AD136" s="9">
        <f>(AD135)+(0)</f>
        <v>-1724.0999999999985</v>
      </c>
      <c r="AE136" s="10">
        <f t="shared" si="69"/>
        <v>0</v>
      </c>
      <c r="AF136" s="9">
        <f>(AF135)+(0)</f>
        <v>0</v>
      </c>
      <c r="AG136" s="9">
        <f>(AG135)+(0)</f>
        <v>-1724.0999999999985</v>
      </c>
      <c r="AH136" s="10">
        <f t="shared" si="70"/>
        <v>0</v>
      </c>
      <c r="AI136" s="9">
        <f>(AI135)+(0)</f>
        <v>0</v>
      </c>
      <c r="AJ136" s="9">
        <f>(AJ135)+(0)</f>
        <v>-1723.9000000000087</v>
      </c>
      <c r="AK136" s="10">
        <f t="shared" si="71"/>
        <v>0</v>
      </c>
      <c r="AL136" s="9">
        <f t="shared" si="57"/>
        <v>29595.510000000006</v>
      </c>
      <c r="AM136" s="9">
        <f t="shared" si="58"/>
        <v>-20688.999999999993</v>
      </c>
      <c r="AN136" s="10">
        <f t="shared" si="72"/>
        <v>-1.4304949490067194</v>
      </c>
    </row>
    <row r="137" spans="1:40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40" spans="1:40" x14ac:dyDescent="0.25">
      <c r="A140" s="13" t="s">
        <v>146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</sheetData>
  <mergeCells count="17">
    <mergeCell ref="AF5:AH5"/>
    <mergeCell ref="AI5:AK5"/>
    <mergeCell ref="AL5:AN5"/>
    <mergeCell ref="A140:AN140"/>
    <mergeCell ref="A1:AN1"/>
    <mergeCell ref="A2:AN2"/>
    <mergeCell ref="A3:AN3"/>
    <mergeCell ref="Q5:S5"/>
    <mergeCell ref="T5:V5"/>
    <mergeCell ref="W5:Y5"/>
    <mergeCell ref="Z5:AB5"/>
    <mergeCell ref="AC5:AE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Todd Wells</cp:lastModifiedBy>
  <dcterms:created xsi:type="dcterms:W3CDTF">2026-02-09T16:33:26Z</dcterms:created>
  <dcterms:modified xsi:type="dcterms:W3CDTF">2026-02-09T16:38:42Z</dcterms:modified>
</cp:coreProperties>
</file>